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15" yWindow="75" windowWidth="16530" windowHeight="7455" tabRatio="712"/>
  </bookViews>
  <sheets>
    <sheet name=" The Program" sheetId="1" r:id="rId1"/>
    <sheet name="CW_2.4W" sheetId="3" r:id="rId2"/>
    <sheet name="CW_24W" sheetId="7" r:id="rId3"/>
  </sheets>
  <definedNames>
    <definedName name="_xlnm.Print_Area" localSheetId="1">CW_2.4W!$A$1:$G$61</definedName>
  </definedNames>
  <calcPr calcId="125725"/>
</workbook>
</file>

<file path=xl/calcChain.xml><?xml version="1.0" encoding="utf-8"?>
<calcChain xmlns="http://schemas.openxmlformats.org/spreadsheetml/2006/main">
  <c r="G17" i="3"/>
  <c r="B28" i="7"/>
  <c r="D24"/>
  <c r="C24"/>
  <c r="B18"/>
  <c r="G17"/>
  <c r="B17"/>
  <c r="H15"/>
  <c r="G15"/>
  <c r="H14"/>
  <c r="G14"/>
  <c r="D14"/>
  <c r="C14"/>
  <c r="B13"/>
  <c r="D13"/>
  <c r="B12"/>
  <c r="D12"/>
  <c r="K11"/>
  <c r="J11"/>
  <c r="I11"/>
  <c r="B11"/>
  <c r="D11"/>
  <c r="K10"/>
  <c r="J10"/>
  <c r="I10"/>
  <c r="B10"/>
  <c r="D10"/>
  <c r="I9"/>
  <c r="B9"/>
  <c r="D9"/>
  <c r="I8"/>
  <c r="B8"/>
  <c r="I7"/>
  <c r="I6"/>
  <c r="I5"/>
  <c r="I4"/>
  <c r="K3"/>
  <c r="A34"/>
  <c r="I3"/>
  <c r="D27"/>
  <c r="A1"/>
  <c r="A1" i="3"/>
  <c r="D24"/>
  <c r="C24"/>
  <c r="B17"/>
  <c r="G14"/>
  <c r="J10"/>
  <c r="H14"/>
  <c r="K10"/>
  <c r="I10"/>
  <c r="B18"/>
  <c r="G15"/>
  <c r="J11"/>
  <c r="H15"/>
  <c r="K11"/>
  <c r="I11"/>
  <c r="B8"/>
  <c r="B9"/>
  <c r="I4"/>
  <c r="B10"/>
  <c r="I5"/>
  <c r="K3"/>
  <c r="I3"/>
  <c r="B11"/>
  <c r="I6"/>
  <c r="B13"/>
  <c r="I8"/>
  <c r="B23"/>
  <c r="D23"/>
  <c r="A34"/>
  <c r="A33"/>
  <c r="D21"/>
  <c r="I9"/>
  <c r="B12"/>
  <c r="I7"/>
  <c r="D14"/>
  <c r="D13"/>
  <c r="D12"/>
  <c r="D11"/>
  <c r="D10"/>
  <c r="D9"/>
  <c r="D8"/>
  <c r="C14"/>
  <c r="C13"/>
  <c r="C12"/>
  <c r="C11"/>
  <c r="C10"/>
  <c r="C9"/>
  <c r="C8"/>
  <c r="D22"/>
  <c r="B28"/>
  <c r="C23"/>
  <c r="C22"/>
  <c r="A21"/>
  <c r="D27"/>
  <c r="B22"/>
  <c r="B22" i="7"/>
  <c r="B23"/>
  <c r="D23"/>
  <c r="D28"/>
  <c r="B27"/>
  <c r="C8"/>
  <c r="D8"/>
  <c r="C9"/>
  <c r="C10"/>
  <c r="C11"/>
  <c r="C12"/>
  <c r="C13"/>
  <c r="A21"/>
  <c r="D21"/>
  <c r="C22"/>
  <c r="D22"/>
  <c r="C23"/>
  <c r="A33"/>
  <c r="D28" i="3"/>
  <c r="B27"/>
</calcChain>
</file>

<file path=xl/sharedStrings.xml><?xml version="1.0" encoding="utf-8"?>
<sst xmlns="http://schemas.openxmlformats.org/spreadsheetml/2006/main" count="150" uniqueCount="50">
  <si>
    <t>Device</t>
  </si>
  <si>
    <t>Table 5. Input &amp; Device Variables used for Electromigration MTTF calculation</t>
  </si>
  <si>
    <t>Input Variables Tcase, Vdd, Id1, Id2, Pin, Pout &amp; BTS target life</t>
  </si>
  <si>
    <t>Stage1_Par</t>
  </si>
  <si>
    <t>Input Category</t>
  </si>
  <si>
    <t>Input Variables</t>
  </si>
  <si>
    <t>Input lower limit</t>
  </si>
  <si>
    <t>Input Upper limit</t>
  </si>
  <si>
    <r>
      <t xml:space="preserve">Device Variables, </t>
    </r>
    <r>
      <rPr>
        <b/>
        <sz val="10"/>
        <rFont val="Symbol"/>
        <family val="1"/>
        <charset val="2"/>
      </rPr>
      <t>F</t>
    </r>
    <r>
      <rPr>
        <b/>
        <sz val="10"/>
        <rFont val="Geneva"/>
      </rPr>
      <t xml:space="preserve">jc1, </t>
    </r>
    <r>
      <rPr>
        <b/>
        <sz val="10"/>
        <rFont val="Symbol"/>
        <family val="1"/>
        <charset val="2"/>
      </rPr>
      <t>F</t>
    </r>
    <r>
      <rPr>
        <b/>
        <sz val="10"/>
        <rFont val="Geneva"/>
      </rPr>
      <t>jc2</t>
    </r>
  </si>
  <si>
    <t>Stage2_Par</t>
  </si>
  <si>
    <t xml:space="preserve">Tcase (°C) </t>
  </si>
  <si>
    <t>Note: The input limits are solely for Electromigration MTTF calculation purpose, cannot be interpreted as product guarantee</t>
  </si>
  <si>
    <t>Vdd (V)</t>
  </si>
  <si>
    <t xml:space="preserve"> </t>
  </si>
  <si>
    <t>Id1 (A)</t>
  </si>
  <si>
    <t>Table 1. Input Variables</t>
  </si>
  <si>
    <t>Id2 (A)</t>
  </si>
  <si>
    <t>Input upper limit</t>
  </si>
  <si>
    <t>Pin (W)</t>
  </si>
  <si>
    <t>Pout (W)</t>
  </si>
  <si>
    <t>BTS target life (yrs)</t>
  </si>
  <si>
    <t xml:space="preserve">Tcase (°C) UPL </t>
  </si>
  <si>
    <t xml:space="preserve">MTTF </t>
  </si>
  <si>
    <t>Table 2. Device Variables</t>
  </si>
  <si>
    <r>
      <t>F</t>
    </r>
    <r>
      <rPr>
        <b/>
        <sz val="10"/>
        <rFont val="Arial"/>
        <family val="2"/>
      </rPr>
      <t>jc1 (°C/W)</t>
    </r>
  </si>
  <si>
    <r>
      <t>F</t>
    </r>
    <r>
      <rPr>
        <b/>
        <sz val="10"/>
        <rFont val="Arial"/>
        <family val="2"/>
      </rPr>
      <t>jc2 (°C/W)</t>
    </r>
  </si>
  <si>
    <t>Table 3. Stage Status</t>
  </si>
  <si>
    <t>Electromigration MTTF (yrs)</t>
  </si>
  <si>
    <t>Stage Temperature (°C)</t>
  </si>
  <si>
    <t>Stage1 Status</t>
  </si>
  <si>
    <t>Stage2 Status</t>
  </si>
  <si>
    <t>Limits</t>
  </si>
  <si>
    <t xml:space="preserve">100 years Min </t>
  </si>
  <si>
    <t>Table 4. Electromigration MTTF and FIT Rate Results</t>
  </si>
  <si>
    <t xml:space="preserve">Device Electromigration MTTF </t>
  </si>
  <si>
    <t xml:space="preserve">At Case Temp.  </t>
  </si>
  <si>
    <t xml:space="preserve">When BTS target life is </t>
  </si>
  <si>
    <t xml:space="preserve"> the FIT Rate* is</t>
  </si>
  <si>
    <t>* The FIT rate is determined by calculating the cumulative fraction fail over the expected life, based on a lognormal distribution.</t>
  </si>
  <si>
    <t>This failure rate is extrapolated to calculate a new MTTF. The FIT rate is then calculated according to the standard formula -- FIT = 1E9/MTTF.</t>
  </si>
  <si>
    <t>This approach will result in a more accurate and meaningful estimate of the FIT rate over the BTS life.</t>
  </si>
  <si>
    <t>Tj max</t>
  </si>
  <si>
    <t>MW7IC2020N_2.4W</t>
  </si>
  <si>
    <t>MW7IC2020N_24W</t>
  </si>
  <si>
    <r>
      <t>F</t>
    </r>
    <r>
      <rPr>
        <b/>
        <sz val="10"/>
        <color theme="0"/>
        <rFont val="Geneva"/>
      </rPr>
      <t xml:space="preserve">jc1 (°C/W)  </t>
    </r>
  </si>
  <si>
    <r>
      <t>F</t>
    </r>
    <r>
      <rPr>
        <b/>
        <sz val="10"/>
        <color theme="0"/>
        <rFont val="Geneva"/>
      </rPr>
      <t xml:space="preserve">jc2 (°C/W) </t>
    </r>
  </si>
  <si>
    <r>
      <t>F</t>
    </r>
    <r>
      <rPr>
        <sz val="10"/>
        <color theme="0"/>
        <rFont val="Arial"/>
        <family val="2"/>
      </rPr>
      <t>jc1 (°C/W)</t>
    </r>
  </si>
  <si>
    <r>
      <t>F</t>
    </r>
    <r>
      <rPr>
        <sz val="10"/>
        <color theme="0"/>
        <rFont val="Arial"/>
        <family val="2"/>
      </rPr>
      <t>jc2 (°C/W)</t>
    </r>
  </si>
  <si>
    <r>
      <t>F</t>
    </r>
    <r>
      <rPr>
        <b/>
        <sz val="10"/>
        <color theme="0"/>
        <rFont val="Geneva"/>
      </rPr>
      <t>jc1 (°C/W)  L/H</t>
    </r>
  </si>
  <si>
    <r>
      <t>F</t>
    </r>
    <r>
      <rPr>
        <b/>
        <sz val="10"/>
        <color theme="0"/>
        <rFont val="Geneva"/>
      </rPr>
      <t>jc2 (°C/W) L/H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</si>
</sst>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E+00"/>
  </numFmts>
  <fonts count="25">
    <font>
      <sz val="10"/>
      <name val="Geneva"/>
    </font>
    <font>
      <b/>
      <sz val="10"/>
      <name val="Geneva"/>
    </font>
    <font>
      <sz val="10"/>
      <name val="Geneva"/>
    </font>
    <font>
      <sz val="12"/>
      <name val="Geneva"/>
    </font>
    <font>
      <b/>
      <sz val="12"/>
      <name val="Geneva"/>
    </font>
    <font>
      <sz val="14"/>
      <name val="Geneva"/>
    </font>
    <font>
      <sz val="10"/>
      <color indexed="10"/>
      <name val="Geneva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sz val="10"/>
      <color indexed="9"/>
      <name val="Geneva"/>
    </font>
    <font>
      <b/>
      <sz val="12"/>
      <color indexed="10"/>
      <name val="Geneva"/>
    </font>
    <font>
      <sz val="10"/>
      <color indexed="12"/>
      <name val="Geneva"/>
    </font>
    <font>
      <b/>
      <sz val="12"/>
      <color indexed="12"/>
      <name val="Geneva"/>
    </font>
    <font>
      <b/>
      <sz val="10"/>
      <color theme="0"/>
      <name val="Geneva"/>
      <family val="2"/>
    </font>
    <font>
      <b/>
      <sz val="10"/>
      <color theme="0"/>
      <name val="Geneva"/>
    </font>
    <font>
      <b/>
      <sz val="12"/>
      <color theme="0"/>
      <name val="Geneva"/>
    </font>
    <font>
      <sz val="10"/>
      <color theme="0"/>
      <name val="Geneva"/>
    </font>
    <font>
      <sz val="10"/>
      <color theme="0"/>
      <name val="Arial"/>
      <family val="2"/>
    </font>
    <font>
      <b/>
      <sz val="10"/>
      <color theme="0"/>
      <name val="Symbol"/>
      <family val="1"/>
      <charset val="2"/>
    </font>
    <font>
      <sz val="10"/>
      <color theme="0"/>
      <name val="Symbol"/>
      <family val="1"/>
      <charset val="2"/>
    </font>
    <font>
      <b/>
      <sz val="10"/>
      <color theme="0"/>
      <name val="Arial"/>
      <family val="2"/>
    </font>
    <font>
      <sz val="10"/>
      <color theme="0"/>
      <name val="Geneva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Border="0"/>
  </cellStyleXfs>
  <cellXfs count="7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/>
    <xf numFmtId="1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/>
    <xf numFmtId="0" fontId="2" fillId="0" borderId="0" xfId="0" applyFont="1"/>
    <xf numFmtId="1" fontId="2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 applyAlignment="1">
      <alignment horizontal="left"/>
    </xf>
    <xf numFmtId="0" fontId="1" fillId="2" borderId="0" xfId="0" applyFont="1" applyFill="1"/>
    <xf numFmtId="0" fontId="0" fillId="2" borderId="0" xfId="0" applyFill="1"/>
    <xf numFmtId="0" fontId="5" fillId="2" borderId="2" xfId="0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quotePrefix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2" borderId="0" xfId="0" applyFont="1" applyFill="1"/>
    <xf numFmtId="0" fontId="6" fillId="0" borderId="1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2" fillId="0" borderId="0" xfId="0" applyFont="1"/>
    <xf numFmtId="166" fontId="5" fillId="2" borderId="7" xfId="0" quotePrefix="1" applyNumberFormat="1" applyFont="1" applyFill="1" applyBorder="1" applyAlignment="1">
      <alignment horizontal="center"/>
    </xf>
    <xf numFmtId="0" fontId="11" fillId="0" borderId="0" xfId="0" applyFont="1"/>
    <xf numFmtId="0" fontId="14" fillId="0" borderId="0" xfId="0" applyFont="1"/>
    <xf numFmtId="164" fontId="14" fillId="0" borderId="0" xfId="0" applyNumberFormat="1" applyFont="1" applyBorder="1" applyAlignment="1">
      <alignment horizontal="center"/>
    </xf>
    <xf numFmtId="0" fontId="14" fillId="0" borderId="0" xfId="0" applyFont="1" applyBorder="1"/>
    <xf numFmtId="1" fontId="14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1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164" fontId="19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vertical="top" wrapText="1"/>
    </xf>
    <xf numFmtId="165" fontId="17" fillId="0" borderId="0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9" fillId="0" borderId="0" xfId="0" applyFont="1"/>
    <xf numFmtId="0" fontId="23" fillId="0" borderId="0" xfId="0" applyFont="1" applyFill="1" applyBorder="1" applyAlignment="1">
      <alignment horizontal="center" vertical="top" wrapText="1"/>
    </xf>
    <xf numFmtId="164" fontId="19" fillId="0" borderId="0" xfId="0" applyNumberFormat="1" applyFont="1" applyAlignment="1">
      <alignment horizontal="center"/>
    </xf>
    <xf numFmtId="0" fontId="19" fillId="0" borderId="0" xfId="0" applyFont="1" applyBorder="1"/>
    <xf numFmtId="0" fontId="24" fillId="0" borderId="0" xfId="0" applyFont="1" applyBorder="1" applyAlignment="1">
      <alignment horizontal="center"/>
    </xf>
    <xf numFmtId="0" fontId="17" fillId="0" borderId="0" xfId="0" applyFont="1" applyBorder="1"/>
    <xf numFmtId="2" fontId="19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142875</xdr:rowOff>
    </xdr:from>
    <xdr:to>
      <xdr:col>9</xdr:col>
      <xdr:colOff>209550</xdr:colOff>
      <xdr:row>46</xdr:row>
      <xdr:rowOff>38100</xdr:rowOff>
    </xdr:to>
    <xdr:pic>
      <xdr:nvPicPr>
        <xdr:cNvPr id="10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42875"/>
          <a:ext cx="5505450" cy="7343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K6" sqref="K6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="75" workbookViewId="0">
      <selection activeCell="E37" sqref="E37"/>
    </sheetView>
  </sheetViews>
  <sheetFormatPr defaultRowHeight="12.75"/>
  <cols>
    <col min="1" max="1" width="39.140625" customWidth="1"/>
    <col min="2" max="2" width="26.5703125" customWidth="1"/>
    <col min="3" max="3" width="22.7109375" customWidth="1"/>
    <col min="4" max="4" width="22.42578125" customWidth="1"/>
    <col min="5" max="5" width="5.28515625" style="46" customWidth="1"/>
    <col min="6" max="6" width="18" style="69" customWidth="1"/>
    <col min="7" max="7" width="24.7109375" style="69" customWidth="1"/>
    <col min="8" max="8" width="21.85546875" style="69" customWidth="1"/>
    <col min="9" max="9" width="17.5703125" style="69" customWidth="1"/>
    <col min="10" max="10" width="9.140625" style="69" customWidth="1"/>
    <col min="11" max="11" width="27.28515625" style="69" customWidth="1"/>
    <col min="12" max="14" width="9.140625" style="43" customWidth="1"/>
  </cols>
  <sheetData>
    <row r="1" spans="1:11" ht="18" customHeight="1">
      <c r="A1" s="13" t="str">
        <f>CONCATENATE("Electromigration MTTF Calculations for Device ",G1," Rev. 0")</f>
        <v>Electromigration MTTF Calculations for Device MW7IC2020N_2.4W Rev. 0</v>
      </c>
      <c r="F1" s="51" t="s">
        <v>0</v>
      </c>
      <c r="G1" s="52" t="s">
        <v>42</v>
      </c>
      <c r="H1" s="53" t="s">
        <v>1</v>
      </c>
      <c r="I1" s="54"/>
      <c r="J1" s="54"/>
      <c r="K1" s="54"/>
    </row>
    <row r="2" spans="1:11" ht="18" customHeight="1">
      <c r="A2" s="6" t="s">
        <v>2</v>
      </c>
      <c r="F2" s="51" t="s">
        <v>3</v>
      </c>
      <c r="G2" s="51">
        <v>198.2</v>
      </c>
      <c r="H2" s="55" t="s">
        <v>4</v>
      </c>
      <c r="I2" s="55" t="s">
        <v>5</v>
      </c>
      <c r="J2" s="55" t="s">
        <v>6</v>
      </c>
      <c r="K2" s="55" t="s">
        <v>7</v>
      </c>
    </row>
    <row r="3" spans="1:11" ht="18" customHeight="1">
      <c r="A3" s="6" t="s">
        <v>8</v>
      </c>
      <c r="F3" s="51" t="s">
        <v>9</v>
      </c>
      <c r="G3" s="51">
        <v>1483.1</v>
      </c>
      <c r="H3" s="56" t="s">
        <v>10</v>
      </c>
      <c r="I3" s="57">
        <f>IF(MAX(E22,E23)&gt;K3, B8-(MAX(E22,E23)-K3  ), B8)</f>
        <v>84</v>
      </c>
      <c r="J3" s="58">
        <v>0</v>
      </c>
      <c r="K3" s="59">
        <f>G11</f>
        <v>150</v>
      </c>
    </row>
    <row r="4" spans="1:11" ht="18" customHeight="1">
      <c r="A4" s="14" t="s">
        <v>11</v>
      </c>
      <c r="F4" s="58" t="s">
        <v>12</v>
      </c>
      <c r="G4" s="60">
        <v>28</v>
      </c>
      <c r="H4" s="56" t="s">
        <v>12</v>
      </c>
      <c r="I4" s="55">
        <f t="shared" ref="I4:I9" si="0">IF(B9&lt;J4,J4,IF(B9&gt;K4,K4,B9))</f>
        <v>28</v>
      </c>
      <c r="J4" s="58">
        <v>9</v>
      </c>
      <c r="K4" s="58">
        <v>32</v>
      </c>
    </row>
    <row r="5" spans="1:11" ht="18" customHeight="1">
      <c r="A5" s="14" t="s">
        <v>13</v>
      </c>
      <c r="F5" s="58" t="s">
        <v>14</v>
      </c>
      <c r="G5" s="61">
        <v>4.8000000000000001E-2</v>
      </c>
      <c r="H5" s="62" t="s">
        <v>14</v>
      </c>
      <c r="I5" s="55">
        <f t="shared" si="0"/>
        <v>4.8000000000000001E-2</v>
      </c>
      <c r="J5" s="63">
        <v>1E-3</v>
      </c>
      <c r="K5" s="58">
        <v>0.5</v>
      </c>
    </row>
    <row r="6" spans="1:11" ht="18" customHeight="1">
      <c r="A6" s="6" t="s">
        <v>15</v>
      </c>
      <c r="F6" s="58" t="s">
        <v>16</v>
      </c>
      <c r="G6" s="51">
        <v>0.50900000000000001</v>
      </c>
      <c r="H6" s="62" t="s">
        <v>16</v>
      </c>
      <c r="I6" s="55">
        <f t="shared" si="0"/>
        <v>0.50900000000000001</v>
      </c>
      <c r="J6" s="63">
        <v>1E-3</v>
      </c>
      <c r="K6" s="58">
        <v>8</v>
      </c>
    </row>
    <row r="7" spans="1:11" ht="18" customHeight="1">
      <c r="A7" s="8" t="s">
        <v>4</v>
      </c>
      <c r="B7" s="8" t="s">
        <v>5</v>
      </c>
      <c r="C7" s="8" t="s">
        <v>6</v>
      </c>
      <c r="D7" s="8" t="s">
        <v>17</v>
      </c>
      <c r="F7" s="58" t="s">
        <v>18</v>
      </c>
      <c r="G7" s="61">
        <v>1.6999999999999999E-3</v>
      </c>
      <c r="H7" s="56" t="s">
        <v>18</v>
      </c>
      <c r="I7" s="64">
        <f t="shared" si="0"/>
        <v>1.6999999999999999E-3</v>
      </c>
      <c r="J7" s="65">
        <v>0</v>
      </c>
      <c r="K7" s="58">
        <v>0.5</v>
      </c>
    </row>
    <row r="8" spans="1:11" ht="18" customHeight="1">
      <c r="A8" s="8" t="s">
        <v>10</v>
      </c>
      <c r="B8" s="42">
        <f>G12</f>
        <v>84</v>
      </c>
      <c r="C8" s="9" t="str">
        <f>IF(B8&lt;J3, CONCATENATE("Tcase under limit! ",J3,"°C "),CONCATENATE(J3,"°C "))</f>
        <v xml:space="preserve">0°C </v>
      </c>
      <c r="D8" s="9" t="str">
        <f>IF(B8&gt;K3, CONCATENATE("Tcase over limit! ",K3,"°C "),CONCATENATE(K3,"°C "))</f>
        <v xml:space="preserve">150°C </v>
      </c>
      <c r="F8" s="58" t="s">
        <v>19</v>
      </c>
      <c r="G8" s="51">
        <v>2.4</v>
      </c>
      <c r="H8" s="56" t="s">
        <v>19</v>
      </c>
      <c r="I8" s="55">
        <f t="shared" si="0"/>
        <v>2.4</v>
      </c>
      <c r="J8" s="65">
        <v>0</v>
      </c>
      <c r="K8" s="58">
        <v>50</v>
      </c>
    </row>
    <row r="9" spans="1:11" ht="18" customHeight="1">
      <c r="A9" s="8" t="s">
        <v>12</v>
      </c>
      <c r="B9" s="42">
        <f>G4</f>
        <v>28</v>
      </c>
      <c r="C9" s="9" t="str">
        <f>IF(B9&lt;J4, CONCATENATE("Vdd lnder limit! ",J4,"V "),CONCATENATE(J4,"V"))</f>
        <v>9V</v>
      </c>
      <c r="D9" s="9" t="str">
        <f>IF(B9&gt;K4, CONCATENATE("Vdd over limit! ",K4,"V "),CONCATENATE(K4,"V"))</f>
        <v>32V</v>
      </c>
      <c r="F9" s="66" t="s">
        <v>44</v>
      </c>
      <c r="G9" s="60">
        <v>9</v>
      </c>
      <c r="H9" s="56" t="s">
        <v>20</v>
      </c>
      <c r="I9" s="55">
        <f t="shared" si="0"/>
        <v>10</v>
      </c>
      <c r="J9" s="65">
        <v>7</v>
      </c>
      <c r="K9" s="58">
        <v>30</v>
      </c>
    </row>
    <row r="10" spans="1:11" ht="18" customHeight="1">
      <c r="A10" s="8" t="s">
        <v>14</v>
      </c>
      <c r="B10" s="42">
        <f>G5</f>
        <v>4.8000000000000001E-2</v>
      </c>
      <c r="C10" s="9" t="str">
        <f>IF(B10&lt;J5, CONCATENATE("Id2 under limit! ",J5,"A "),CONCATENATE(J5,"A"))</f>
        <v>0.001A</v>
      </c>
      <c r="D10" s="9" t="str">
        <f>IF(B10&gt;K5, CONCATENATE("Id2 over Limit! ",K5,"A "),CONCATENATE(K5,"A"))</f>
        <v>0.5A</v>
      </c>
      <c r="F10" s="66" t="s">
        <v>45</v>
      </c>
      <c r="G10" s="60">
        <v>1.9</v>
      </c>
      <c r="H10" s="67" t="s">
        <v>46</v>
      </c>
      <c r="I10" s="55">
        <f>IF(B17&lt;J10,J10,IF(B17&gt;K10,K10,B17))</f>
        <v>9</v>
      </c>
      <c r="J10" s="58">
        <f>G14</f>
        <v>8.1</v>
      </c>
      <c r="K10" s="58">
        <f>H14</f>
        <v>9.9</v>
      </c>
    </row>
    <row r="11" spans="1:11" ht="18" customHeight="1">
      <c r="A11" s="8" t="s">
        <v>16</v>
      </c>
      <c r="B11" s="42">
        <f>G6</f>
        <v>0.50900000000000001</v>
      </c>
      <c r="C11" s="9" t="str">
        <f>IF(B11&lt;J6, CONCATENATE("Id3 under limit! ",J6,"A "),CONCATENATE(J6,"A"))</f>
        <v>0.001A</v>
      </c>
      <c r="D11" s="9" t="str">
        <f>IF(B11&gt;K6, CONCATENATE("Vdd over limit! ",K6,"A "),CONCATENATE(K6,"A"))</f>
        <v>8A</v>
      </c>
      <c r="F11" s="58" t="s">
        <v>21</v>
      </c>
      <c r="G11" s="52">
        <v>150</v>
      </c>
      <c r="H11" s="67" t="s">
        <v>47</v>
      </c>
      <c r="I11" s="55">
        <f>IF(B18&lt;J11,J11,IF(B18&gt;K11,K11,B18))</f>
        <v>1.9</v>
      </c>
      <c r="J11" s="58">
        <f>G15</f>
        <v>1.71</v>
      </c>
      <c r="K11" s="58">
        <f>H15</f>
        <v>2.09</v>
      </c>
    </row>
    <row r="12" spans="1:11" ht="18" customHeight="1">
      <c r="A12" s="8" t="s">
        <v>18</v>
      </c>
      <c r="B12" s="42">
        <f>G7</f>
        <v>1.6999999999999999E-3</v>
      </c>
      <c r="C12" s="9" t="str">
        <f>IF(B12&lt;J7, CONCATENATE("Vdd under limit! ",J7,"W "),CONCATENATE(J7,"W"))</f>
        <v>0W</v>
      </c>
      <c r="D12" s="9" t="str">
        <f>IF(B12&gt;K7, CONCATENATE("Vdd over limit! ",K7,"W "),CONCATENATE(K7,"W"))</f>
        <v>0.5W</v>
      </c>
      <c r="F12" s="58" t="s">
        <v>10</v>
      </c>
      <c r="G12" s="52">
        <v>84</v>
      </c>
      <c r="H12" s="68" t="s">
        <v>41</v>
      </c>
      <c r="I12" s="68">
        <v>225</v>
      </c>
    </row>
    <row r="13" spans="1:11" ht="18" customHeight="1">
      <c r="A13" s="8" t="s">
        <v>19</v>
      </c>
      <c r="B13" s="42">
        <f>G8</f>
        <v>2.4</v>
      </c>
      <c r="C13" s="9" t="str">
        <f>IF(B13&lt;J8, CONCATENATE("Vdd under limit! ",J8,"W "),CONCATENATE(J8,"W"))</f>
        <v>0W</v>
      </c>
      <c r="D13" s="9" t="str">
        <f>IF(B13&gt;K8, CONCATENATE("Vdd over limit! ",K8,"W"),CONCATENATE(K8,"W"))</f>
        <v>50W</v>
      </c>
      <c r="E13" s="48"/>
      <c r="F13" s="70" t="s">
        <v>22</v>
      </c>
      <c r="G13" s="69" t="s">
        <v>13</v>
      </c>
    </row>
    <row r="14" spans="1:11" ht="18" customHeight="1">
      <c r="A14" s="8" t="s">
        <v>20</v>
      </c>
      <c r="B14" s="42">
        <v>10</v>
      </c>
      <c r="C14" s="9" t="str">
        <f>IF(B14&lt;J9, CONCATENATE("Vdd under limit! ",J9,"yrs "),CONCATENATE(J9,"yrs"))</f>
        <v>7yrs</v>
      </c>
      <c r="D14" s="9" t="str">
        <f>IF(B14&gt;K9, CONCATENATE("Vdd over limit! ",K9,"yrs"),CONCATENATE(K9,"yrs"))</f>
        <v>30yrs</v>
      </c>
      <c r="E14" s="48"/>
      <c r="F14" s="66" t="s">
        <v>48</v>
      </c>
      <c r="G14" s="68">
        <f>G9*0.9</f>
        <v>8.1</v>
      </c>
      <c r="H14" s="68">
        <f>G9*1.1</f>
        <v>9.9</v>
      </c>
    </row>
    <row r="15" spans="1:11" ht="18" customHeight="1">
      <c r="A15" s="17"/>
      <c r="B15" s="2"/>
      <c r="C15" s="18"/>
      <c r="D15" s="18"/>
      <c r="E15" s="48"/>
      <c r="F15" s="66" t="s">
        <v>49</v>
      </c>
      <c r="G15" s="68">
        <f>G10*0.9</f>
        <v>1.71</v>
      </c>
      <c r="H15" s="68">
        <f>G10*1.1</f>
        <v>2.09</v>
      </c>
    </row>
    <row r="16" spans="1:11" ht="18" customHeight="1">
      <c r="A16" s="6" t="s">
        <v>23</v>
      </c>
      <c r="B16" s="2"/>
      <c r="C16" s="2"/>
      <c r="D16" s="2"/>
      <c r="E16" s="48"/>
      <c r="G16" s="68"/>
      <c r="H16" s="68"/>
    </row>
    <row r="17" spans="1:8" ht="18" customHeight="1">
      <c r="A17" s="16" t="s">
        <v>24</v>
      </c>
      <c r="B17" s="7">
        <f>G9</f>
        <v>9</v>
      </c>
      <c r="C17" s="45"/>
      <c r="D17" s="45" t="s">
        <v>13</v>
      </c>
      <c r="E17" s="48"/>
      <c r="F17" s="66" t="s">
        <v>13</v>
      </c>
      <c r="G17" s="75">
        <f>10*LOG(G8/G7)</f>
        <v>31.497623203333323</v>
      </c>
      <c r="H17" s="68" t="s">
        <v>13</v>
      </c>
    </row>
    <row r="18" spans="1:8" ht="18" customHeight="1">
      <c r="A18" s="16" t="s">
        <v>25</v>
      </c>
      <c r="B18" s="7">
        <f>G10</f>
        <v>1.9</v>
      </c>
      <c r="C18" s="45"/>
      <c r="D18" s="45"/>
      <c r="E18" s="48"/>
    </row>
    <row r="19" spans="1:8" ht="18" customHeight="1">
      <c r="A19" s="19"/>
      <c r="B19" s="20"/>
      <c r="C19" s="37"/>
      <c r="D19" s="37"/>
      <c r="E19" s="48"/>
    </row>
    <row r="20" spans="1:8" ht="18" customHeight="1">
      <c r="A20" s="23" t="s">
        <v>26</v>
      </c>
      <c r="B20" s="11"/>
      <c r="C20" s="11"/>
      <c r="D20" s="18"/>
      <c r="E20" s="48"/>
      <c r="F20" s="72"/>
      <c r="G20" s="69" t="s">
        <v>13</v>
      </c>
    </row>
    <row r="21" spans="1:8" ht="18" customHeight="1">
      <c r="A21" s="5" t="str">
        <f>CONCATENATE("When Tcase Temp = ", ROUND(I3, 1), "°C")</f>
        <v>When Tcase Temp = 84°C</v>
      </c>
      <c r="B21" s="5" t="s">
        <v>27</v>
      </c>
      <c r="C21" s="5" t="s">
        <v>28</v>
      </c>
      <c r="D21" s="5" t="str">
        <f>IF(MAX(E22,E23)&gt;K3,CONCATENATE("If Tcase Temp = ", B8, "°C"),"Stage Over Temp?")</f>
        <v>Stage Over Temp?</v>
      </c>
      <c r="F21" s="72"/>
    </row>
    <row r="22" spans="1:8" ht="18" customHeight="1">
      <c r="A22" s="18" t="s">
        <v>29</v>
      </c>
      <c r="B22" s="3">
        <f>39400/(100000000*I5/G2)^2*EXP(0.66/0.0000863/(273+I3+I10*I4*I5))</f>
        <v>66970.97644032455</v>
      </c>
      <c r="C22" s="3">
        <f>I3+I10*I4*I5</f>
        <v>96.096000000000004</v>
      </c>
      <c r="D22" s="40" t="str">
        <f>IF(B8+I10*I4*I5&gt;K3, CONCATENATE(ROUND(B8+I10*I4*I5-K3,0),"°C ","Over Tj max."), "None")</f>
        <v>None</v>
      </c>
      <c r="E22" s="47"/>
      <c r="F22" s="72"/>
    </row>
    <row r="23" spans="1:8" ht="18" customHeight="1">
      <c r="A23" s="9" t="s">
        <v>30</v>
      </c>
      <c r="B23" s="3">
        <f>39400/(100000000*I6/G3)^2*EXP(0.66/0.0000863/(273+I3+I11*(I4*I6-I8)))</f>
        <v>18877.086884767286</v>
      </c>
      <c r="C23" s="3">
        <f>I3+I11*(I4*I6-I8)</f>
        <v>106.5188</v>
      </c>
      <c r="D23" s="40" t="str">
        <f>IF(B8+I11*(I4*I6-I8)&gt;K3, CONCATENATE(ROUND(B8+I11*(I4*I6-I8)-K3,0),"°C ","Over Tj max."), "None")</f>
        <v>None</v>
      </c>
      <c r="E23" s="47"/>
      <c r="G23" s="73" t="s">
        <v>13</v>
      </c>
    </row>
    <row r="24" spans="1:8" ht="18" customHeight="1">
      <c r="A24" s="38" t="s">
        <v>31</v>
      </c>
      <c r="B24" s="15" t="s">
        <v>32</v>
      </c>
      <c r="C24" s="15" t="str">
        <f>CONCATENATE("Tj max Allowed ",I12, " °C ")</f>
        <v xml:space="preserve">Tj max Allowed 225 °C </v>
      </c>
      <c r="D24" s="15" t="str">
        <f>CONCATENATE("Tj max Allowed ",I12, " °C ")</f>
        <v xml:space="preserve">Tj max Allowed 225 °C </v>
      </c>
    </row>
    <row r="25" spans="1:8" ht="18" customHeight="1">
      <c r="A25" s="37" t="s">
        <v>13</v>
      </c>
      <c r="B25" s="1"/>
      <c r="D25" s="18"/>
      <c r="E25" s="49" t="s">
        <v>13</v>
      </c>
    </row>
    <row r="26" spans="1:8" ht="18" customHeight="1" thickBot="1">
      <c r="A26" s="24" t="s">
        <v>33</v>
      </c>
      <c r="B26" s="25"/>
      <c r="C26" s="25"/>
      <c r="D26" s="25"/>
      <c r="E26" s="48"/>
    </row>
    <row r="27" spans="1:8" ht="18" customHeight="1">
      <c r="A27" s="26" t="s">
        <v>34</v>
      </c>
      <c r="B27" s="27" t="str">
        <f>CONCATENATE(ROUND(MIN(B22,B23),0), " Years")</f>
        <v>18877 Years</v>
      </c>
      <c r="C27" s="28" t="s">
        <v>35</v>
      </c>
      <c r="D27" s="29" t="str">
        <f>CONCATENATE(" ",ROUND(I3, 1), " °C ")</f>
        <v xml:space="preserve"> 84 °C </v>
      </c>
      <c r="F27" s="72"/>
    </row>
    <row r="28" spans="1:8" ht="18" customHeight="1" thickBot="1">
      <c r="A28" s="30" t="s">
        <v>36</v>
      </c>
      <c r="B28" s="31" t="str">
        <f>CONCATENATE(B14," Years")</f>
        <v>10 Years</v>
      </c>
      <c r="C28" s="32" t="s">
        <v>37</v>
      </c>
      <c r="D28" s="44">
        <f xml:space="preserve"> LOGNORMDIST(B14*365*24,LN(MIN(B22,B23)*365*24),0.8)*2*1000000000/8760/B14</f>
        <v>4.7307850442960452E-17</v>
      </c>
      <c r="F28" s="72"/>
    </row>
    <row r="29" spans="1:8" ht="18" customHeight="1">
      <c r="A29" s="33" t="s">
        <v>38</v>
      </c>
      <c r="B29" s="34"/>
      <c r="C29" s="35"/>
      <c r="D29" s="36"/>
      <c r="F29" s="72"/>
    </row>
    <row r="30" spans="1:8" ht="18" customHeight="1">
      <c r="A30" s="33" t="s">
        <v>39</v>
      </c>
      <c r="B30" s="34"/>
      <c r="C30" s="35"/>
      <c r="D30" s="36"/>
    </row>
    <row r="31" spans="1:8" ht="18" customHeight="1">
      <c r="A31" s="39" t="s">
        <v>40</v>
      </c>
      <c r="B31" s="34"/>
      <c r="C31" s="35"/>
      <c r="D31" s="36"/>
    </row>
    <row r="32" spans="1:8" ht="18" customHeight="1">
      <c r="B32" s="21"/>
      <c r="C32" s="22"/>
      <c r="D32" s="22"/>
    </row>
    <row r="33" spans="1:6" ht="18" customHeight="1">
      <c r="A33" s="10" t="str">
        <f>IF(MAX(E22,E23)&gt;K3, CONCATENATE("Case Temperature was modified to ",ROUND(I3, 1)," °C based on maximum die junction temperature allowed."),"")</f>
        <v/>
      </c>
      <c r="B33" s="11"/>
      <c r="C33" s="11"/>
      <c r="D33" s="11"/>
      <c r="E33" s="50"/>
    </row>
    <row r="34" spans="1:6" ht="18" customHeight="1">
      <c r="A34" s="12" t="str">
        <f>IF(MAX( E22,E23)&gt;K3, "Better Heatsink, Cooling Systems or Operating conditions are Necessary to Reduce the Case Temperature","")</f>
        <v/>
      </c>
      <c r="B34" s="41"/>
      <c r="C34" s="41"/>
      <c r="D34" s="41"/>
      <c r="E34" s="50"/>
    </row>
    <row r="35" spans="1:6" ht="18" customHeight="1">
      <c r="E35" s="50"/>
    </row>
    <row r="36" spans="1:6" ht="18" customHeight="1">
      <c r="E36" s="50"/>
      <c r="F36" s="74" t="s">
        <v>13</v>
      </c>
    </row>
    <row r="37" spans="1:6" ht="15.75">
      <c r="E37" s="50"/>
      <c r="F37" s="74"/>
    </row>
    <row r="38" spans="1:6" ht="15.75">
      <c r="E38" s="50"/>
      <c r="F38" s="74"/>
    </row>
    <row r="39" spans="1:6">
      <c r="F39" s="74"/>
    </row>
    <row r="40" spans="1:6">
      <c r="B40" t="s">
        <v>13</v>
      </c>
      <c r="F40" s="74"/>
    </row>
    <row r="41" spans="1:6" ht="15.75">
      <c r="E41" s="50"/>
      <c r="F41" s="74"/>
    </row>
    <row r="42" spans="1:6" ht="15.75">
      <c r="E42" s="50"/>
      <c r="F42" s="74"/>
    </row>
    <row r="43" spans="1:6" ht="15.75">
      <c r="E43" s="50"/>
      <c r="F43" s="74"/>
    </row>
    <row r="44" spans="1:6" ht="15.75">
      <c r="E44" s="50"/>
      <c r="F44" s="74"/>
    </row>
    <row r="45" spans="1:6" ht="15.75">
      <c r="E45" s="50"/>
      <c r="F45" s="74"/>
    </row>
    <row r="46" spans="1:6" ht="15.75">
      <c r="E46" s="50"/>
      <c r="F46" s="74"/>
    </row>
    <row r="47" spans="1:6" ht="15.75">
      <c r="E47" s="50"/>
      <c r="F47" s="74"/>
    </row>
    <row r="48" spans="1:6" ht="15.75">
      <c r="E48" s="50"/>
      <c r="F48" s="74"/>
    </row>
    <row r="49" spans="1:6" ht="15.75">
      <c r="E49" s="50"/>
      <c r="F49" s="74"/>
    </row>
    <row r="50" spans="1:6">
      <c r="F50" s="74"/>
    </row>
    <row r="51" spans="1:6" ht="15.75">
      <c r="A51" s="12"/>
      <c r="B51" s="11"/>
      <c r="C51" s="11"/>
      <c r="D51" s="11"/>
      <c r="E51" s="50"/>
      <c r="F51" s="74"/>
    </row>
    <row r="52" spans="1:6" ht="15.75">
      <c r="D52" s="11"/>
      <c r="E52" s="50"/>
      <c r="F52" s="74"/>
    </row>
    <row r="53" spans="1:6">
      <c r="D53" s="1"/>
    </row>
    <row r="54" spans="1:6" ht="15">
      <c r="D54" s="4"/>
    </row>
    <row r="55" spans="1:6" ht="15">
      <c r="D55" s="4"/>
    </row>
    <row r="57" spans="1:6" ht="15">
      <c r="D57" s="4"/>
    </row>
    <row r="58" spans="1:6" ht="15">
      <c r="D58" s="4"/>
    </row>
    <row r="60" spans="1:6" ht="15">
      <c r="D60" s="4"/>
    </row>
    <row r="61" spans="1:6" ht="15">
      <c r="D61" s="4"/>
    </row>
  </sheetData>
  <phoneticPr fontId="0" type="noConversion"/>
  <pageMargins left="0.75" right="0.75" top="1" bottom="1" header="0.5" footer="0.5"/>
  <pageSetup scale="51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="75" zoomScaleNormal="75" workbookViewId="0">
      <selection activeCell="E37" sqref="E37"/>
    </sheetView>
  </sheetViews>
  <sheetFormatPr defaultRowHeight="12.75"/>
  <cols>
    <col min="1" max="1" width="39.140625" customWidth="1"/>
    <col min="2" max="2" width="26.5703125" customWidth="1"/>
    <col min="3" max="3" width="22.7109375" customWidth="1"/>
    <col min="4" max="4" width="22.42578125" customWidth="1"/>
    <col min="5" max="5" width="5.28515625" style="46" customWidth="1"/>
    <col min="6" max="6" width="18" style="69" customWidth="1"/>
    <col min="7" max="7" width="24.7109375" style="69" customWidth="1"/>
    <col min="8" max="8" width="21.85546875" style="69" customWidth="1"/>
    <col min="9" max="9" width="17.5703125" style="69" customWidth="1"/>
    <col min="10" max="10" width="9.140625" style="69" customWidth="1"/>
    <col min="11" max="11" width="27.28515625" style="69" customWidth="1"/>
    <col min="12" max="14" width="9.140625" style="43" customWidth="1"/>
  </cols>
  <sheetData>
    <row r="1" spans="1:11" ht="18" customHeight="1">
      <c r="A1" s="13" t="str">
        <f>CONCATENATE("Electromigration MTTF Calculations for Device ",G1," Rev. 0")</f>
        <v>Electromigration MTTF Calculations for Device MW7IC2020N_24W Rev. 0</v>
      </c>
      <c r="F1" s="51" t="s">
        <v>0</v>
      </c>
      <c r="G1" s="52" t="s">
        <v>43</v>
      </c>
      <c r="H1" s="53" t="s">
        <v>1</v>
      </c>
      <c r="I1" s="54"/>
      <c r="J1" s="54"/>
      <c r="K1" s="54"/>
    </row>
    <row r="2" spans="1:11" ht="18" customHeight="1">
      <c r="A2" s="6" t="s">
        <v>2</v>
      </c>
      <c r="F2" s="51" t="s">
        <v>3</v>
      </c>
      <c r="G2" s="51">
        <v>195.2</v>
      </c>
      <c r="H2" s="55" t="s">
        <v>4</v>
      </c>
      <c r="I2" s="55" t="s">
        <v>5</v>
      </c>
      <c r="J2" s="55" t="s">
        <v>6</v>
      </c>
      <c r="K2" s="55" t="s">
        <v>7</v>
      </c>
    </row>
    <row r="3" spans="1:11" ht="18" customHeight="1">
      <c r="A3" s="6" t="s">
        <v>8</v>
      </c>
      <c r="F3" s="51" t="s">
        <v>9</v>
      </c>
      <c r="G3" s="51">
        <v>1483.1</v>
      </c>
      <c r="H3" s="56" t="s">
        <v>10</v>
      </c>
      <c r="I3" s="57">
        <f>IF(MAX(E22,E23)&gt;K3, B8-(MAX(E22,E23)-K3  ), B8)</f>
        <v>92</v>
      </c>
      <c r="J3" s="58">
        <v>0</v>
      </c>
      <c r="K3" s="59">
        <f>G11</f>
        <v>150</v>
      </c>
    </row>
    <row r="4" spans="1:11" ht="18" customHeight="1">
      <c r="A4" s="14" t="s">
        <v>11</v>
      </c>
      <c r="F4" s="58" t="s">
        <v>12</v>
      </c>
      <c r="G4" s="60">
        <v>28</v>
      </c>
      <c r="H4" s="56" t="s">
        <v>12</v>
      </c>
      <c r="I4" s="55">
        <f t="shared" ref="I4:I9" si="0">IF(B9&lt;J4,J4,IF(B9&gt;K4,K4,B9))</f>
        <v>28</v>
      </c>
      <c r="J4" s="58">
        <v>9</v>
      </c>
      <c r="K4" s="58">
        <v>32</v>
      </c>
    </row>
    <row r="5" spans="1:11" ht="18" customHeight="1">
      <c r="A5" s="14" t="s">
        <v>13</v>
      </c>
      <c r="F5" s="58" t="s">
        <v>14</v>
      </c>
      <c r="G5" s="61">
        <v>0.1075</v>
      </c>
      <c r="H5" s="62" t="s">
        <v>14</v>
      </c>
      <c r="I5" s="55">
        <f t="shared" si="0"/>
        <v>0.1075</v>
      </c>
      <c r="J5" s="63">
        <v>1E-3</v>
      </c>
      <c r="K5" s="58">
        <v>0.5</v>
      </c>
    </row>
    <row r="6" spans="1:11" ht="18" customHeight="1">
      <c r="A6" s="6" t="s">
        <v>15</v>
      </c>
      <c r="F6" s="58" t="s">
        <v>16</v>
      </c>
      <c r="G6" s="51">
        <v>1.5920000000000001</v>
      </c>
      <c r="H6" s="62" t="s">
        <v>16</v>
      </c>
      <c r="I6" s="55">
        <f t="shared" si="0"/>
        <v>1.5920000000000001</v>
      </c>
      <c r="J6" s="63">
        <v>1E-3</v>
      </c>
      <c r="K6" s="58">
        <v>8</v>
      </c>
    </row>
    <row r="7" spans="1:11" ht="18" customHeight="1">
      <c r="A7" s="8" t="s">
        <v>4</v>
      </c>
      <c r="B7" s="8" t="s">
        <v>5</v>
      </c>
      <c r="C7" s="8" t="s">
        <v>6</v>
      </c>
      <c r="D7" s="8" t="s">
        <v>17</v>
      </c>
      <c r="F7" s="58" t="s">
        <v>18</v>
      </c>
      <c r="G7" s="61">
        <v>1.985E-2</v>
      </c>
      <c r="H7" s="56" t="s">
        <v>18</v>
      </c>
      <c r="I7" s="64">
        <f t="shared" si="0"/>
        <v>1.985E-2</v>
      </c>
      <c r="J7" s="65">
        <v>0</v>
      </c>
      <c r="K7" s="58">
        <v>0.5</v>
      </c>
    </row>
    <row r="8" spans="1:11" ht="18" customHeight="1">
      <c r="A8" s="8" t="s">
        <v>10</v>
      </c>
      <c r="B8" s="42">
        <f>G12</f>
        <v>92</v>
      </c>
      <c r="C8" s="9" t="str">
        <f>IF(B8&lt;J3, CONCATENATE("Tcase under limit! ",J3,"°C "),CONCATENATE(J3,"°C "))</f>
        <v xml:space="preserve">0°C </v>
      </c>
      <c r="D8" s="9" t="str">
        <f>IF(B8&gt;K3, CONCATENATE("Tcase over limit! ",K3,"°C "),CONCATENATE(K3,"°C "))</f>
        <v xml:space="preserve">150°C </v>
      </c>
      <c r="F8" s="58" t="s">
        <v>19</v>
      </c>
      <c r="G8" s="51">
        <v>24</v>
      </c>
      <c r="H8" s="56" t="s">
        <v>19</v>
      </c>
      <c r="I8" s="55">
        <f t="shared" si="0"/>
        <v>24</v>
      </c>
      <c r="J8" s="65">
        <v>0</v>
      </c>
      <c r="K8" s="58">
        <v>50</v>
      </c>
    </row>
    <row r="9" spans="1:11" ht="18" customHeight="1">
      <c r="A9" s="8" t="s">
        <v>12</v>
      </c>
      <c r="B9" s="42">
        <f>G4</f>
        <v>28</v>
      </c>
      <c r="C9" s="9" t="str">
        <f>IF(B9&lt;J4, CONCATENATE("Vdd lnder limit! ",J4,"V "),CONCATENATE(J4,"V"))</f>
        <v>9V</v>
      </c>
      <c r="D9" s="9" t="str">
        <f>IF(B9&gt;K4, CONCATENATE("Vdd over limit! ",K4,"V "),CONCATENATE(K4,"V"))</f>
        <v>32V</v>
      </c>
      <c r="F9" s="66" t="s">
        <v>44</v>
      </c>
      <c r="G9" s="60">
        <v>8.6</v>
      </c>
      <c r="H9" s="56" t="s">
        <v>20</v>
      </c>
      <c r="I9" s="55">
        <f t="shared" si="0"/>
        <v>10</v>
      </c>
      <c r="J9" s="65">
        <v>7</v>
      </c>
      <c r="K9" s="58">
        <v>30</v>
      </c>
    </row>
    <row r="10" spans="1:11" ht="18" customHeight="1">
      <c r="A10" s="8" t="s">
        <v>14</v>
      </c>
      <c r="B10" s="42">
        <f>G5</f>
        <v>0.1075</v>
      </c>
      <c r="C10" s="9" t="str">
        <f>IF(B10&lt;J5, CONCATENATE("Id2 under limit! ",J5,"A "),CONCATENATE(J5,"A"))</f>
        <v>0.001A</v>
      </c>
      <c r="D10" s="9" t="str">
        <f>IF(B10&gt;K5, CONCATENATE("Id2 over Limit! ",K5,"A "),CONCATENATE(K5,"A"))</f>
        <v>0.5A</v>
      </c>
      <c r="F10" s="66" t="s">
        <v>45</v>
      </c>
      <c r="G10" s="60">
        <v>1.6</v>
      </c>
      <c r="H10" s="67" t="s">
        <v>46</v>
      </c>
      <c r="I10" s="55">
        <f>IF(B17&lt;J10,J10,IF(B17&gt;K10,K10,B17))</f>
        <v>8.6</v>
      </c>
      <c r="J10" s="58">
        <f>G14</f>
        <v>7.74</v>
      </c>
      <c r="K10" s="58">
        <f>H14</f>
        <v>9.4600000000000009</v>
      </c>
    </row>
    <row r="11" spans="1:11" ht="18" customHeight="1">
      <c r="A11" s="8" t="s">
        <v>16</v>
      </c>
      <c r="B11" s="42">
        <f>G6</f>
        <v>1.5920000000000001</v>
      </c>
      <c r="C11" s="9" t="str">
        <f>IF(B11&lt;J6, CONCATENATE("Id3 under limit! ",J6,"A "),CONCATENATE(J6,"A"))</f>
        <v>0.001A</v>
      </c>
      <c r="D11" s="9" t="str">
        <f>IF(B11&gt;K6, CONCATENATE("Vdd over limit! ",K6,"A "),CONCATENATE(K6,"A"))</f>
        <v>8A</v>
      </c>
      <c r="F11" s="58" t="s">
        <v>21</v>
      </c>
      <c r="G11" s="52">
        <v>150</v>
      </c>
      <c r="H11" s="67" t="s">
        <v>47</v>
      </c>
      <c r="I11" s="55">
        <f>IF(B18&lt;J11,J11,IF(B18&gt;K11,K11,B18))</f>
        <v>1.6</v>
      </c>
      <c r="J11" s="58">
        <f>G15</f>
        <v>1.4400000000000002</v>
      </c>
      <c r="K11" s="58">
        <f>H15</f>
        <v>1.7600000000000002</v>
      </c>
    </row>
    <row r="12" spans="1:11" ht="18" customHeight="1">
      <c r="A12" s="8" t="s">
        <v>18</v>
      </c>
      <c r="B12" s="42">
        <f>G7</f>
        <v>1.985E-2</v>
      </c>
      <c r="C12" s="9" t="str">
        <f>IF(B12&lt;J7, CONCATENATE("Vdd under limit! ",J7,"W "),CONCATENATE(J7,"W"))</f>
        <v>0W</v>
      </c>
      <c r="D12" s="9" t="str">
        <f>IF(B12&gt;K7, CONCATENATE("Vdd over limit! ",K7,"W "),CONCATENATE(K7,"W"))</f>
        <v>0.5W</v>
      </c>
      <c r="F12" s="58" t="s">
        <v>10</v>
      </c>
      <c r="G12" s="52">
        <v>92</v>
      </c>
      <c r="H12" s="68" t="s">
        <v>41</v>
      </c>
      <c r="I12" s="68">
        <v>225</v>
      </c>
    </row>
    <row r="13" spans="1:11" ht="18" customHeight="1">
      <c r="A13" s="8" t="s">
        <v>19</v>
      </c>
      <c r="B13" s="42">
        <f>G8</f>
        <v>24</v>
      </c>
      <c r="C13" s="9" t="str">
        <f>IF(B13&lt;J8, CONCATENATE("Vdd under limit! ",J8,"W "),CONCATENATE(J8,"W"))</f>
        <v>0W</v>
      </c>
      <c r="D13" s="9" t="str">
        <f>IF(B13&gt;K8, CONCATENATE("Vdd over limit! ",K8,"W"),CONCATENATE(K8,"W"))</f>
        <v>50W</v>
      </c>
      <c r="E13" s="48"/>
      <c r="F13" s="70" t="s">
        <v>22</v>
      </c>
      <c r="G13" s="69" t="s">
        <v>13</v>
      </c>
    </row>
    <row r="14" spans="1:11" ht="18" customHeight="1">
      <c r="A14" s="8" t="s">
        <v>20</v>
      </c>
      <c r="B14" s="42">
        <v>10</v>
      </c>
      <c r="C14" s="9" t="str">
        <f>IF(B14&lt;J9, CONCATENATE("Vdd under limit! ",J9,"yrs "),CONCATENATE(J9,"yrs"))</f>
        <v>7yrs</v>
      </c>
      <c r="D14" s="9" t="str">
        <f>IF(B14&gt;K9, CONCATENATE("Vdd over limit! ",K9,"yrs"),CONCATENATE(K9,"yrs"))</f>
        <v>30yrs</v>
      </c>
      <c r="E14" s="48"/>
      <c r="F14" s="66" t="s">
        <v>48</v>
      </c>
      <c r="G14" s="68">
        <f>G9*0.9</f>
        <v>7.74</v>
      </c>
      <c r="H14" s="68">
        <f>G9*1.1</f>
        <v>9.4600000000000009</v>
      </c>
    </row>
    <row r="15" spans="1:11" ht="18" customHeight="1">
      <c r="A15" s="17"/>
      <c r="B15" s="2"/>
      <c r="C15" s="18"/>
      <c r="D15" s="18"/>
      <c r="E15" s="48"/>
      <c r="F15" s="66" t="s">
        <v>49</v>
      </c>
      <c r="G15" s="68">
        <f>G10*0.9</f>
        <v>1.4400000000000002</v>
      </c>
      <c r="H15" s="68">
        <f>G10*1.1</f>
        <v>1.7600000000000002</v>
      </c>
    </row>
    <row r="16" spans="1:11" ht="18" customHeight="1">
      <c r="A16" s="6" t="s">
        <v>23</v>
      </c>
      <c r="B16" s="2"/>
      <c r="C16" s="2"/>
      <c r="D16" s="2"/>
      <c r="E16" s="48"/>
      <c r="G16" s="68"/>
      <c r="H16" s="68"/>
    </row>
    <row r="17" spans="1:8" ht="18" customHeight="1">
      <c r="A17" s="16" t="s">
        <v>24</v>
      </c>
      <c r="B17" s="7">
        <f>G9</f>
        <v>8.6</v>
      </c>
      <c r="C17" s="45"/>
      <c r="D17" s="45" t="s">
        <v>13</v>
      </c>
      <c r="E17" s="48"/>
      <c r="F17" s="66" t="s">
        <v>13</v>
      </c>
      <c r="G17" s="71">
        <f>10*LOG(G8/G7)</f>
        <v>30.824507306124719</v>
      </c>
      <c r="H17" s="68" t="s">
        <v>13</v>
      </c>
    </row>
    <row r="18" spans="1:8" ht="18" customHeight="1">
      <c r="A18" s="16" t="s">
        <v>25</v>
      </c>
      <c r="B18" s="7">
        <f>G10</f>
        <v>1.6</v>
      </c>
      <c r="C18" s="45"/>
      <c r="D18" s="45"/>
      <c r="E18" s="48"/>
    </row>
    <row r="19" spans="1:8" ht="18" customHeight="1">
      <c r="A19" s="19"/>
      <c r="B19" s="20"/>
      <c r="C19" s="37"/>
      <c r="D19" s="37"/>
      <c r="E19" s="48"/>
    </row>
    <row r="20" spans="1:8" ht="18" customHeight="1">
      <c r="A20" s="23" t="s">
        <v>26</v>
      </c>
      <c r="B20" s="11"/>
      <c r="C20" s="11"/>
      <c r="D20" s="18"/>
      <c r="E20" s="48"/>
      <c r="F20" s="72"/>
      <c r="G20" s="69" t="s">
        <v>13</v>
      </c>
    </row>
    <row r="21" spans="1:8" ht="18" customHeight="1">
      <c r="A21" s="5" t="str">
        <f>CONCATENATE("When Tcase Temp = ", ROUND(I3, 1), "°C")</f>
        <v>When Tcase Temp = 92°C</v>
      </c>
      <c r="B21" s="5" t="s">
        <v>27</v>
      </c>
      <c r="C21" s="5" t="s">
        <v>28</v>
      </c>
      <c r="D21" s="5" t="str">
        <f>IF(MAX(E22,E23)&gt;K3,CONCATENATE("If Tcase Temp = ", B8, "°C"),"Stage Over Temp?")</f>
        <v>Stage Over Temp?</v>
      </c>
      <c r="F21" s="72"/>
    </row>
    <row r="22" spans="1:8" ht="18" customHeight="1">
      <c r="A22" s="18" t="s">
        <v>29</v>
      </c>
      <c r="B22" s="3">
        <f>39400/(100000000*I5/G2)^2*EXP(0.66/0.0000863/(273+I3+I10*I4*I5))</f>
        <v>4080.1160047513176</v>
      </c>
      <c r="C22" s="3">
        <f>I3+I10*I4*I5</f>
        <v>117.886</v>
      </c>
      <c r="D22" s="40" t="str">
        <f>IF(B8+I10*I4*I5&gt;K3, CONCATENATE(ROUND(B8+I10*I4*I5-K3,0),"°C ","Over Tj max."), "None")</f>
        <v>None</v>
      </c>
      <c r="E22" s="47"/>
      <c r="F22" s="72"/>
    </row>
    <row r="23" spans="1:8" ht="18" customHeight="1">
      <c r="A23" s="9" t="s">
        <v>30</v>
      </c>
      <c r="B23" s="3">
        <f>39400/(100000000*I6/G3)^2*EXP(0.66/0.0000863/(273+I3+I11*(I4*I6-I8)))</f>
        <v>759.88804369555862</v>
      </c>
      <c r="C23" s="3">
        <f>I3+I11*(I4*I6-I8)</f>
        <v>124.92160000000001</v>
      </c>
      <c r="D23" s="40" t="str">
        <f>IF(B8+I11*(I4*I6-I8)&gt;K3, CONCATENATE(ROUND(B8+I11*(I4*I6-I8)-K3,0),"°C ","Over Tj max."), "None")</f>
        <v>None</v>
      </c>
      <c r="E23" s="47"/>
      <c r="G23" s="73" t="s">
        <v>13</v>
      </c>
    </row>
    <row r="24" spans="1:8" ht="18" customHeight="1">
      <c r="A24" s="38" t="s">
        <v>31</v>
      </c>
      <c r="B24" s="15" t="s">
        <v>32</v>
      </c>
      <c r="C24" s="15" t="str">
        <f>CONCATENATE("Tj max Allowed ",I12, " °C ")</f>
        <v xml:space="preserve">Tj max Allowed 225 °C </v>
      </c>
      <c r="D24" s="15" t="str">
        <f>CONCATENATE("Tj max Allowed ",I12, " °C ")</f>
        <v xml:space="preserve">Tj max Allowed 225 °C </v>
      </c>
    </row>
    <row r="25" spans="1:8" ht="18" customHeight="1">
      <c r="A25" s="37" t="s">
        <v>13</v>
      </c>
      <c r="B25" s="1"/>
      <c r="D25" s="18"/>
      <c r="E25" s="49" t="s">
        <v>13</v>
      </c>
    </row>
    <row r="26" spans="1:8" ht="18" customHeight="1" thickBot="1">
      <c r="A26" s="24" t="s">
        <v>33</v>
      </c>
      <c r="B26" s="25"/>
      <c r="C26" s="25"/>
      <c r="D26" s="25"/>
      <c r="E26" s="48"/>
    </row>
    <row r="27" spans="1:8" ht="18" customHeight="1">
      <c r="A27" s="26" t="s">
        <v>34</v>
      </c>
      <c r="B27" s="27" t="str">
        <f>CONCATENATE(ROUND(MIN(B22,B23),0), " Years")</f>
        <v>760 Years</v>
      </c>
      <c r="C27" s="28" t="s">
        <v>35</v>
      </c>
      <c r="D27" s="29" t="str">
        <f>CONCATENATE(" ",ROUND(I3, 1), " °C ")</f>
        <v xml:space="preserve"> 92 °C </v>
      </c>
      <c r="F27" s="72"/>
    </row>
    <row r="28" spans="1:8" ht="18" customHeight="1" thickBot="1">
      <c r="A28" s="30" t="s">
        <v>36</v>
      </c>
      <c r="B28" s="31" t="str">
        <f>CONCATENATE(B14," Years")</f>
        <v>10 Years</v>
      </c>
      <c r="C28" s="32" t="s">
        <v>37</v>
      </c>
      <c r="D28" s="44">
        <f xml:space="preserve"> LOGNORMDIST(B14*365*24,LN(MIN(B22,B23)*365*24),0.8)*2*1000000000/8760/B14</f>
        <v>7.0658707227599655E-4</v>
      </c>
      <c r="F28" s="72"/>
    </row>
    <row r="29" spans="1:8" ht="18" customHeight="1">
      <c r="A29" s="33" t="s">
        <v>38</v>
      </c>
      <c r="B29" s="34"/>
      <c r="C29" s="35"/>
      <c r="D29" s="36"/>
      <c r="F29" s="72"/>
    </row>
    <row r="30" spans="1:8" ht="18" customHeight="1">
      <c r="A30" s="33" t="s">
        <v>39</v>
      </c>
      <c r="B30" s="34"/>
      <c r="C30" s="35"/>
      <c r="D30" s="36"/>
    </row>
    <row r="31" spans="1:8" ht="18" customHeight="1">
      <c r="A31" s="39" t="s">
        <v>40</v>
      </c>
      <c r="B31" s="34"/>
      <c r="C31" s="35"/>
      <c r="D31" s="36"/>
    </row>
    <row r="32" spans="1:8" ht="18" customHeight="1">
      <c r="B32" s="21"/>
      <c r="C32" s="22"/>
      <c r="D32" s="22"/>
    </row>
    <row r="33" spans="1:6" ht="18" customHeight="1">
      <c r="A33" s="10" t="str">
        <f>IF(MAX(E22,E23)&gt;K3, CONCATENATE("Case Temperature was modified to ",ROUND(I3, 1)," °C based on maximum die junction temperature allowed."),"")</f>
        <v/>
      </c>
      <c r="B33" s="11"/>
      <c r="C33" s="11"/>
      <c r="D33" s="11"/>
      <c r="E33" s="50"/>
    </row>
    <row r="34" spans="1:6" ht="18" customHeight="1">
      <c r="A34" s="12" t="str">
        <f>IF(MAX( E22,E23)&gt;K3, "Better Heatsink, Cooling Systems or Operating conditions are Necessary to Reduce the Case Temperature","")</f>
        <v/>
      </c>
      <c r="B34" s="41"/>
      <c r="C34" s="41"/>
      <c r="D34" s="41"/>
      <c r="E34" s="50"/>
    </row>
    <row r="35" spans="1:6" ht="18" customHeight="1">
      <c r="E35" s="50"/>
    </row>
    <row r="36" spans="1:6" ht="18" customHeight="1">
      <c r="E36" s="50"/>
      <c r="F36" s="74" t="s">
        <v>13</v>
      </c>
    </row>
    <row r="37" spans="1:6" ht="15.75">
      <c r="E37" s="50"/>
      <c r="F37" s="74"/>
    </row>
    <row r="38" spans="1:6" ht="15.75">
      <c r="E38" s="50"/>
      <c r="F38" s="74"/>
    </row>
    <row r="39" spans="1:6">
      <c r="F39" s="74"/>
    </row>
    <row r="40" spans="1:6">
      <c r="B40" t="s">
        <v>13</v>
      </c>
      <c r="F40" s="74"/>
    </row>
    <row r="41" spans="1:6" ht="15.75">
      <c r="E41" s="50"/>
      <c r="F41" s="74"/>
    </row>
    <row r="42" spans="1:6" ht="15.75">
      <c r="E42" s="50"/>
      <c r="F42" s="74"/>
    </row>
    <row r="43" spans="1:6" ht="15.75">
      <c r="E43" s="50"/>
      <c r="F43" s="74"/>
    </row>
    <row r="44" spans="1:6" ht="15.75">
      <c r="E44" s="50"/>
      <c r="F44" s="74"/>
    </row>
    <row r="45" spans="1:6" ht="15.75">
      <c r="E45" s="50"/>
      <c r="F45" s="74"/>
    </row>
    <row r="46" spans="1:6" ht="15.75">
      <c r="E46" s="50"/>
      <c r="F46" s="74"/>
    </row>
    <row r="47" spans="1:6" ht="15.75">
      <c r="E47" s="50"/>
      <c r="F47" s="74"/>
    </row>
    <row r="48" spans="1:6" ht="15.75">
      <c r="E48" s="50"/>
      <c r="F48" s="74"/>
    </row>
    <row r="49" spans="1:6" ht="15.75">
      <c r="E49" s="50"/>
      <c r="F49" s="74"/>
    </row>
    <row r="50" spans="1:6">
      <c r="F50" s="74"/>
    </row>
    <row r="51" spans="1:6" ht="15.75">
      <c r="A51" s="12"/>
      <c r="B51" s="11"/>
      <c r="C51" s="11"/>
      <c r="D51" s="11"/>
      <c r="E51" s="50"/>
      <c r="F51" s="74"/>
    </row>
    <row r="52" spans="1:6" ht="15.75">
      <c r="D52" s="11"/>
      <c r="E52" s="50"/>
      <c r="F52" s="74"/>
    </row>
    <row r="53" spans="1:6">
      <c r="D53" s="1"/>
    </row>
    <row r="54" spans="1:6" ht="15">
      <c r="D54" s="4"/>
    </row>
    <row r="55" spans="1:6" ht="15">
      <c r="D55" s="4"/>
    </row>
    <row r="57" spans="1:6" ht="15">
      <c r="D57" s="4"/>
    </row>
    <row r="58" spans="1:6" ht="15">
      <c r="D58" s="4"/>
    </row>
    <row r="60" spans="1:6" ht="15">
      <c r="D60" s="4"/>
    </row>
    <row r="61" spans="1:6" ht="15">
      <c r="D6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 The Program</vt:lpstr>
      <vt:lpstr>CW_2.4W</vt:lpstr>
      <vt:lpstr>CW_24W</vt:lpstr>
      <vt:lpstr>CW_2.4W!Print_Area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Electromigration MTTF Calculation Program</dc:title>
  <dc:creator>Freescale Semiconductors, Inc</dc:creator>
  <cp:keywords>MTTF, calculator</cp:keywords>
  <cp:lastModifiedBy>Ric Watkins</cp:lastModifiedBy>
  <cp:lastPrinted>2003-06-25T23:49:58Z</cp:lastPrinted>
  <dcterms:created xsi:type="dcterms:W3CDTF">2002-11-13T17:41:12Z</dcterms:created>
  <dcterms:modified xsi:type="dcterms:W3CDTF">2012-01-27T00:37:49Z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1373640287</vt:i4>
  </property>
  <property fmtid="{D5CDD505-2E9C-101B-9397-08002B2CF9AE}" pid="3" name="_NewReviewCycle">
    <vt:lpwstr/>
  </property>
  <property fmtid="{D5CDD505-2E9C-101B-9397-08002B2CF9AE}" pid="4" name="_EmailSubject">
    <vt:lpwstr>Two Stage MTTF</vt:lpwstr>
  </property>
  <property fmtid="{D5CDD505-2E9C-101B-9397-08002B2CF9AE}" pid="5" name="_AuthorEmail">
    <vt:lpwstr>James.Seto@freescale.com</vt:lpwstr>
  </property>
  <property fmtid="{D5CDD505-2E9C-101B-9397-08002B2CF9AE}" pid="6" name="_AuthorEmailDisplayName">
    <vt:lpwstr>Seto James-RP3555</vt:lpwstr>
  </property>
  <property fmtid="{D5CDD505-2E9C-101B-9397-08002B2CF9AE}" pid="7" name="_ReviewingToolsShownOnce">
    <vt:lpwstr/>
  </property>
</Properties>
</file>