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70" yWindow="1290" windowWidth="15840" windowHeight="7200" tabRatio="720"/>
  </bookViews>
  <sheets>
    <sheet name="The Program" sheetId="2" r:id="rId1"/>
    <sheet name="CW_18W" sheetId="14" r:id="rId2"/>
    <sheet name="CW_90W" sheetId="15" r:id="rId3"/>
  </sheets>
  <calcPr calcId="125725"/>
</workbook>
</file>

<file path=xl/calcChain.xml><?xml version="1.0" encoding="utf-8"?>
<calcChain xmlns="http://schemas.openxmlformats.org/spreadsheetml/2006/main">
  <c r="G18" i="15"/>
  <c r="A31"/>
  <c r="A30"/>
  <c r="G4"/>
  <c r="B10"/>
  <c r="I5"/>
  <c r="B8"/>
  <c r="I3"/>
  <c r="B16"/>
  <c r="G13"/>
  <c r="J9"/>
  <c r="H13"/>
  <c r="K9"/>
  <c r="I9"/>
  <c r="B9"/>
  <c r="I4"/>
  <c r="B11"/>
  <c r="I6"/>
  <c r="B12"/>
  <c r="I7"/>
  <c r="B20"/>
  <c r="D25"/>
  <c r="B25"/>
  <c r="D24"/>
  <c r="B24"/>
  <c r="D21"/>
  <c r="C21"/>
  <c r="D20"/>
  <c r="C20"/>
  <c r="D19"/>
  <c r="A19"/>
  <c r="G17"/>
  <c r="K16"/>
  <c r="J16"/>
  <c r="D13"/>
  <c r="C13"/>
  <c r="D12"/>
  <c r="C12"/>
  <c r="D11"/>
  <c r="C11"/>
  <c r="D10"/>
  <c r="C10"/>
  <c r="G9"/>
  <c r="D9"/>
  <c r="C9"/>
  <c r="I8"/>
  <c r="G8"/>
  <c r="D8"/>
  <c r="C8"/>
  <c r="A1"/>
  <c r="G18" i="14"/>
  <c r="C21"/>
  <c r="D21"/>
  <c r="G4"/>
  <c r="A31"/>
  <c r="A30"/>
  <c r="B10"/>
  <c r="I5"/>
  <c r="B8"/>
  <c r="I3"/>
  <c r="B16"/>
  <c r="G13"/>
  <c r="J9"/>
  <c r="H13"/>
  <c r="K9"/>
  <c r="I9"/>
  <c r="B9"/>
  <c r="I4"/>
  <c r="B11"/>
  <c r="I6"/>
  <c r="B12"/>
  <c r="I7"/>
  <c r="B20"/>
  <c r="D25"/>
  <c r="B25"/>
  <c r="D24"/>
  <c r="B24"/>
  <c r="D20"/>
  <c r="C20"/>
  <c r="D19"/>
  <c r="A19"/>
  <c r="G17"/>
  <c r="K16"/>
  <c r="J16"/>
  <c r="D13"/>
  <c r="C13"/>
  <c r="D12"/>
  <c r="C12"/>
  <c r="D11"/>
  <c r="C11"/>
  <c r="D10"/>
  <c r="C10"/>
  <c r="G9"/>
  <c r="D9"/>
  <c r="C9"/>
  <c r="I8"/>
  <c r="G8"/>
  <c r="D8"/>
  <c r="C8"/>
  <c r="A1"/>
</calcChain>
</file>

<file path=xl/sharedStrings.xml><?xml version="1.0" encoding="utf-8"?>
<sst xmlns="http://schemas.openxmlformats.org/spreadsheetml/2006/main" count="120" uniqueCount="44">
  <si>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</si>
  <si>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</si>
  <si>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</si>
  <si>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</si>
  <si>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</si>
  <si>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</si>
  <si>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</si>
  <si>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  <charset val="2"/>
      </rPr>
      <t>F</t>
    </r>
    <r>
      <rPr>
        <b/>
        <sz val="10"/>
        <rFont val="Geneva"/>
      </rPr>
      <t>jc1</t>
    </r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</si>
  <si>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</si>
  <si>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</si>
  <si>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</si>
  <si>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</si>
  <si>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</si>
  <si>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</si>
  <si>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</si>
  <si>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</si>
  <si>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</si>
  <si>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</si>
  <si>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</si>
  <si>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</si>
  <si>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</si>
  <si>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</si>
  <si>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</si>
  <si>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</si>
  <si>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</si>
  <si>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</si>
  <si>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</si>
  <si>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</si>
  <si>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</si>
  <si>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</si>
  <si>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</si>
  <si>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</si>
  <si>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</si>
  <si>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</si>
  <si>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</si>
  <si>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</si>
  <si>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>Tj max</t>
  </si>
  <si>
    <r>
      <t>F</t>
    </r>
    <r>
      <rPr>
        <b/>
        <sz val="10"/>
        <color indexed="9"/>
        <rFont val="Arial"/>
        <family val="2"/>
      </rPr>
      <t xml:space="preserve">jc1 (°C/W)  </t>
    </r>
  </si>
  <si>
    <r>
      <t>F</t>
    </r>
    <r>
      <rPr>
        <b/>
        <sz val="10"/>
        <color indexed="9"/>
        <rFont val="Arial"/>
        <family val="2"/>
      </rPr>
      <t>jc1 (°C/W)L</t>
    </r>
  </si>
  <si>
    <r>
      <t>F</t>
    </r>
    <r>
      <rPr>
        <b/>
        <sz val="10"/>
        <color indexed="9"/>
        <rFont val="Arial"/>
        <family val="2"/>
      </rPr>
      <t>jc1 (°C/W)U</t>
    </r>
  </si>
  <si>
    <r>
      <t>F</t>
    </r>
    <r>
      <rPr>
        <b/>
        <sz val="10"/>
        <color indexed="9"/>
        <rFont val="Arial"/>
        <family val="2"/>
      </rPr>
      <t>jc1 (°C/W)</t>
    </r>
  </si>
  <si>
    <r>
      <t>F</t>
    </r>
    <r>
      <rPr>
        <b/>
        <sz val="10"/>
        <color indexed="9"/>
        <rFont val="Geneva"/>
      </rPr>
      <t>jc1 (°C/W)  L/H</t>
    </r>
  </si>
  <si>
    <t>MRF6VP3091N_CW 90W</t>
  </si>
  <si>
    <t>MRF6VP3091N_CW 18W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</si>
</sst>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0"/>
    <numFmt numFmtId="167" formatCode="0.0E+00"/>
  </numFmts>
  <fonts count="22">
    <font>
      <sz val="10"/>
      <name val="Geneva"/>
    </font>
    <font>
      <b/>
      <sz val="10"/>
      <name val="Geneva"/>
    </font>
    <font>
      <sz val="10"/>
      <name val="Geneva"/>
    </font>
    <font>
      <sz val="12"/>
      <name val="Geneva"/>
    </font>
    <font>
      <b/>
      <sz val="12"/>
      <name val="Geneva"/>
    </font>
    <font>
      <sz val="14"/>
      <name val="Geneva"/>
    </font>
    <font>
      <sz val="10"/>
      <color indexed="10"/>
      <name val="Geneva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sz val="10"/>
      <color indexed="9"/>
      <name val="Geneva"/>
    </font>
    <font>
      <b/>
      <sz val="10"/>
      <color indexed="9"/>
      <name val="Geneva"/>
    </font>
    <font>
      <b/>
      <sz val="12"/>
      <color indexed="10"/>
      <name val="Geneva"/>
    </font>
    <font>
      <sz val="10"/>
      <color indexed="56"/>
      <name val="Geneva"/>
      <family val="2"/>
    </font>
    <font>
      <sz val="8"/>
      <name val="Geneva"/>
    </font>
    <font>
      <b/>
      <sz val="10"/>
      <color indexed="9"/>
      <name val="Geneva"/>
      <family val="2"/>
    </font>
    <font>
      <b/>
      <sz val="10"/>
      <color indexed="9"/>
      <name val="Arial"/>
      <family val="2"/>
    </font>
    <font>
      <b/>
      <sz val="12"/>
      <color indexed="9"/>
      <name val="Geneva"/>
    </font>
    <font>
      <b/>
      <sz val="10"/>
      <color indexed="9"/>
      <name val="Arial"/>
      <family val="2"/>
    </font>
    <font>
      <b/>
      <sz val="10"/>
      <color indexed="9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1" fillId="2" borderId="0" xfId="0" applyFont="1" applyFill="1"/>
    <xf numFmtId="0" fontId="0" fillId="2" borderId="0" xfId="0" applyFill="1"/>
    <xf numFmtId="0" fontId="5" fillId="2" borderId="2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2" borderId="0" xfId="0" applyFont="1" applyFill="1"/>
    <xf numFmtId="0" fontId="6" fillId="0" borderId="1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2" fillId="0" borderId="0" xfId="0" applyFont="1"/>
    <xf numFmtId="0" fontId="5" fillId="2" borderId="3" xfId="0" applyFont="1" applyFill="1" applyBorder="1" applyAlignment="1"/>
    <xf numFmtId="0" fontId="5" fillId="2" borderId="6" xfId="0" applyFont="1" applyFill="1" applyBorder="1" applyAlignment="1"/>
    <xf numFmtId="164" fontId="3" fillId="0" borderId="1" xfId="0" applyNumberFormat="1" applyFont="1" applyBorder="1" applyAlignment="1">
      <alignment horizontal="center"/>
    </xf>
    <xf numFmtId="167" fontId="5" fillId="2" borderId="7" xfId="0" quotePrefix="1" applyNumberFormat="1" applyFont="1" applyFill="1" applyBorder="1" applyAlignment="1">
      <alignment horizontal="center"/>
    </xf>
    <xf numFmtId="0" fontId="15" fillId="0" borderId="0" xfId="0" applyFont="1"/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1" fontId="3" fillId="0" borderId="1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3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164" fontId="13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165" fontId="13" fillId="0" borderId="0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49" fontId="20" fillId="0" borderId="0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Border="1"/>
    <xf numFmtId="2" fontId="13" fillId="0" borderId="0" xfId="0" applyNumberFormat="1" applyFont="1"/>
    <xf numFmtId="166" fontId="13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9</xdr:col>
      <xdr:colOff>99060</xdr:colOff>
      <xdr:row>45</xdr:row>
      <xdr:rowOff>129540</xdr:rowOff>
    </xdr:to>
    <xdr:pic>
      <xdr:nvPicPr>
        <xdr:cNvPr id="10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8580"/>
          <a:ext cx="5509260" cy="76047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45</xdr:row>
      <xdr:rowOff>129540</xdr:rowOff>
    </xdr:from>
    <xdr:to>
      <xdr:col>9</xdr:col>
      <xdr:colOff>106680</xdr:colOff>
      <xdr:row>57</xdr:row>
      <xdr:rowOff>91440</xdr:rowOff>
    </xdr:to>
    <xdr:pic>
      <xdr:nvPicPr>
        <xdr:cNvPr id="10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" y="7673340"/>
          <a:ext cx="5509260" cy="19735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6" sqref="K6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="75" workbookViewId="0">
      <selection activeCell="E35" sqref="E35"/>
    </sheetView>
  </sheetViews>
  <sheetFormatPr defaultRowHeight="12.75"/>
  <cols>
    <col min="1" max="1" width="38.5703125" customWidth="1"/>
    <col min="2" max="2" width="26.140625" customWidth="1"/>
    <col min="3" max="3" width="23.140625" customWidth="1"/>
    <col min="4" max="4" width="22.5703125" customWidth="1"/>
    <col min="5" max="5" width="5.42578125" style="5" customWidth="1"/>
    <col min="6" max="6" width="18.140625" style="53" customWidth="1"/>
    <col min="7" max="7" width="17.140625" style="53" customWidth="1"/>
    <col min="8" max="8" width="17.7109375" style="53" customWidth="1"/>
    <col min="9" max="9" width="15.7109375" style="53" customWidth="1"/>
    <col min="10" max="10" width="16.7109375" style="53" customWidth="1"/>
    <col min="11" max="11" width="20.85546875" style="53" customWidth="1"/>
    <col min="12" max="12" width="9.140625" style="53" customWidth="1"/>
    <col min="13" max="17" width="9.140625" style="41" customWidth="1"/>
  </cols>
  <sheetData>
    <row r="1" spans="1:11" ht="30" customHeight="1">
      <c r="A1" s="11" t="str">
        <f>CONCATENATE("Electromigration MTTF Calculations for Device ",G1," Rev0")</f>
        <v>Electromigration MTTF Calculations for Device MRF6VP3091N_CW 18W Rev0</v>
      </c>
      <c r="F1" s="51" t="s">
        <v>33</v>
      </c>
      <c r="G1" s="52" t="s">
        <v>43</v>
      </c>
      <c r="H1" s="72" t="s">
        <v>1</v>
      </c>
      <c r="I1" s="73"/>
      <c r="J1" s="73"/>
      <c r="K1" s="73"/>
    </row>
    <row r="2" spans="1:11" ht="18" customHeight="1">
      <c r="A2" s="5" t="s">
        <v>2</v>
      </c>
      <c r="F2" s="51" t="s">
        <v>34</v>
      </c>
      <c r="G2" s="54">
        <v>1193.7</v>
      </c>
      <c r="H2" s="33" t="s">
        <v>3</v>
      </c>
      <c r="I2" s="33" t="s">
        <v>4</v>
      </c>
      <c r="J2" s="33" t="s">
        <v>5</v>
      </c>
      <c r="K2" s="33" t="s">
        <v>6</v>
      </c>
    </row>
    <row r="3" spans="1:11" ht="18" customHeight="1">
      <c r="A3" s="5" t="s">
        <v>7</v>
      </c>
      <c r="F3" s="33" t="s">
        <v>10</v>
      </c>
      <c r="G3" s="54">
        <v>50</v>
      </c>
      <c r="H3" s="55" t="s">
        <v>8</v>
      </c>
      <c r="I3" s="56">
        <f>IF(G20&gt;K3, B8-(G20-K3  ),  B8)</f>
        <v>76</v>
      </c>
      <c r="J3" s="33">
        <v>0</v>
      </c>
      <c r="K3" s="57">
        <v>225</v>
      </c>
    </row>
    <row r="4" spans="1:11" ht="18" customHeight="1">
      <c r="A4" s="12" t="s">
        <v>9</v>
      </c>
      <c r="F4" s="33" t="s">
        <v>11</v>
      </c>
      <c r="G4" s="58">
        <f>G18</f>
        <v>1.40625</v>
      </c>
      <c r="H4" s="59" t="s">
        <v>10</v>
      </c>
      <c r="I4" s="60">
        <f>IF(B9&lt;J4,J4,IF(B9&gt;K4,K4,B9))</f>
        <v>50</v>
      </c>
      <c r="J4" s="33">
        <v>9</v>
      </c>
      <c r="K4" s="33">
        <v>60</v>
      </c>
    </row>
    <row r="5" spans="1:11" ht="18" customHeight="1">
      <c r="A5" s="12" t="s">
        <v>0</v>
      </c>
      <c r="F5" s="33" t="s">
        <v>13</v>
      </c>
      <c r="G5" s="61">
        <v>0.106</v>
      </c>
      <c r="H5" s="62" t="s">
        <v>11</v>
      </c>
      <c r="I5" s="33">
        <f>IF(B10&lt;J5,J5,IF(B10&gt;K5,K5,B10))</f>
        <v>1.40625</v>
      </c>
      <c r="J5" s="60">
        <v>1E-3</v>
      </c>
      <c r="K5" s="33">
        <v>35</v>
      </c>
    </row>
    <row r="6" spans="1:11" ht="18" customHeight="1">
      <c r="A6" s="5" t="s">
        <v>12</v>
      </c>
      <c r="F6" s="33" t="s">
        <v>15</v>
      </c>
      <c r="G6" s="54">
        <v>18</v>
      </c>
      <c r="H6" s="59" t="s">
        <v>13</v>
      </c>
      <c r="I6" s="33">
        <f>IF(B11&lt;J6,J6,IF(B11&gt;K6,K6,B11))</f>
        <v>0.106</v>
      </c>
      <c r="J6" s="63">
        <v>0</v>
      </c>
      <c r="K6" s="33">
        <v>250</v>
      </c>
    </row>
    <row r="7" spans="1:11" ht="18" customHeight="1">
      <c r="A7" s="7" t="s">
        <v>3</v>
      </c>
      <c r="B7" s="7" t="s">
        <v>4</v>
      </c>
      <c r="C7" s="7" t="s">
        <v>5</v>
      </c>
      <c r="D7" s="7" t="s">
        <v>14</v>
      </c>
      <c r="F7" s="64" t="s">
        <v>37</v>
      </c>
      <c r="G7" s="54">
        <v>0.79</v>
      </c>
      <c r="H7" s="59" t="s">
        <v>15</v>
      </c>
      <c r="I7" s="33">
        <f>IF(B12&lt;J7,J7,IF(B12&gt;K7,K7,B12))</f>
        <v>18</v>
      </c>
      <c r="J7" s="63">
        <v>0</v>
      </c>
      <c r="K7" s="33">
        <v>1500</v>
      </c>
    </row>
    <row r="8" spans="1:11" ht="18" customHeight="1">
      <c r="A8" s="7" t="s">
        <v>8</v>
      </c>
      <c r="B8" s="40">
        <f>G11</f>
        <v>76</v>
      </c>
      <c r="C8" s="8" t="str">
        <f>IF(B8&lt;J3, CONCATENATE("Tcase under limit! ",J3,"°C "),CONCATENATE(J3,"°C "))</f>
        <v xml:space="preserve">0°C </v>
      </c>
      <c r="D8" s="38" t="str">
        <f>IF(B8&gt;150, CONCATENATE("Warning Tcase OVER 150°C! "),CONCATENATE("150°C "))</f>
        <v xml:space="preserve">150°C </v>
      </c>
      <c r="F8" s="64" t="s">
        <v>38</v>
      </c>
      <c r="G8" s="54">
        <f>G13</f>
        <v>0.71100000000000008</v>
      </c>
      <c r="H8" s="59" t="s">
        <v>16</v>
      </c>
      <c r="I8" s="33">
        <f>IF(B13&lt;J8,J8,IF(B13&gt;K8,K8,B13))</f>
        <v>10</v>
      </c>
      <c r="J8" s="63">
        <v>7</v>
      </c>
      <c r="K8" s="33">
        <v>30</v>
      </c>
    </row>
    <row r="9" spans="1:11" ht="18" customHeight="1">
      <c r="A9" s="7" t="s">
        <v>10</v>
      </c>
      <c r="B9" s="40">
        <f>G3</f>
        <v>50</v>
      </c>
      <c r="C9" s="8" t="str">
        <f>IF(B9&lt;J4, CONCATENATE("Vdd lnder limit! ",J4,"V "),CONCATENATE(J4,"V"))</f>
        <v>9V</v>
      </c>
      <c r="D9" s="8" t="str">
        <f>IF(B9&gt;K4, CONCATENATE("Vdd over limit! ",K4,"V "),CONCATENATE(K4,"V"))</f>
        <v>60V</v>
      </c>
      <c r="F9" s="64" t="s">
        <v>39</v>
      </c>
      <c r="G9" s="54">
        <f>H13</f>
        <v>0.86900000000000011</v>
      </c>
      <c r="H9" s="64" t="s">
        <v>40</v>
      </c>
      <c r="I9" s="33">
        <f>IF(B16&lt;J9,J9,IF(B16&gt;K9,K9,B16))</f>
        <v>0.79</v>
      </c>
      <c r="J9" s="33">
        <f>G13</f>
        <v>0.71100000000000008</v>
      </c>
      <c r="K9" s="33">
        <f>H13</f>
        <v>0.86900000000000011</v>
      </c>
    </row>
    <row r="10" spans="1:11" ht="18" customHeight="1">
      <c r="A10" s="7" t="s">
        <v>11</v>
      </c>
      <c r="B10" s="40">
        <f>G4</f>
        <v>1.40625</v>
      </c>
      <c r="C10" s="8" t="str">
        <f>IF(B10&lt;J5, CONCATENATE("Id3 under limit! ",J5,"A "),CONCATENATE(J5,"A"))</f>
        <v>0.001A</v>
      </c>
      <c r="D10" s="8" t="str">
        <f>IF(B10&gt;K5, CONCATENATE("Vdd over limit! ",K5,"A "),CONCATENATE(K5,"A"))</f>
        <v>35A</v>
      </c>
      <c r="F10" s="33" t="s">
        <v>35</v>
      </c>
      <c r="G10" s="54">
        <v>150</v>
      </c>
      <c r="H10" s="65" t="s">
        <v>36</v>
      </c>
      <c r="I10" s="65">
        <v>225</v>
      </c>
    </row>
    <row r="11" spans="1:11" ht="18" customHeight="1">
      <c r="A11" s="7" t="s">
        <v>13</v>
      </c>
      <c r="B11" s="40">
        <f>G5</f>
        <v>0.106</v>
      </c>
      <c r="C11" s="8" t="str">
        <f>IF(B11&lt;J6, CONCATENATE("Vdd under limit! ",J6,"W "),CONCATENATE(J6,"W"))</f>
        <v>0W</v>
      </c>
      <c r="D11" s="8" t="str">
        <f>IF(B11&gt;K6, CONCATENATE("Vdd over limit! ",K6,"W "),CONCATENATE(K6,"W"))</f>
        <v>250W</v>
      </c>
      <c r="F11" s="33" t="s">
        <v>8</v>
      </c>
      <c r="G11" s="66">
        <v>76</v>
      </c>
    </row>
    <row r="12" spans="1:11" ht="18" customHeight="1">
      <c r="A12" s="7" t="s">
        <v>15</v>
      </c>
      <c r="B12" s="40">
        <f>G6</f>
        <v>18</v>
      </c>
      <c r="C12" s="8" t="str">
        <f>IF(B12&lt;J7, CONCATENATE("Vdd under limit! ",J7,"W "),CONCATENATE(J7,"W"))</f>
        <v>0W</v>
      </c>
      <c r="D12" s="8" t="str">
        <f>IF(B12&gt;K7, CONCATENATE("Vdd over limit! ",K7,"W"),CONCATENATE(K7,"W"))</f>
        <v>1500W</v>
      </c>
      <c r="E12" s="48"/>
      <c r="F12" s="55"/>
      <c r="G12" s="66"/>
    </row>
    <row r="13" spans="1:11" ht="18" customHeight="1">
      <c r="A13" s="7" t="s">
        <v>16</v>
      </c>
      <c r="B13" s="7">
        <v>10</v>
      </c>
      <c r="C13" s="8" t="str">
        <f>IF(B13&lt;J8, CONCATENATE("Vdd under limit! ",J8,"yrs "),CONCATENATE(J8,"yrs"))</f>
        <v>7yrs</v>
      </c>
      <c r="D13" s="8" t="str">
        <f>IF(B13&gt;K8, CONCATENATE("Vdd over limit! ",K8,"yrs"),CONCATENATE(K8,"yrs"))</f>
        <v>30yrs</v>
      </c>
      <c r="E13" s="48"/>
      <c r="F13" s="67" t="s">
        <v>41</v>
      </c>
      <c r="G13" s="53">
        <f>G7*0.9</f>
        <v>0.71100000000000008</v>
      </c>
      <c r="H13" s="53">
        <f>G7*1.1</f>
        <v>0.86900000000000011</v>
      </c>
    </row>
    <row r="14" spans="1:11" ht="18" customHeight="1">
      <c r="A14" s="15"/>
      <c r="B14" s="2"/>
      <c r="C14" s="16"/>
      <c r="D14" s="16"/>
      <c r="E14" s="48"/>
      <c r="F14" s="68"/>
    </row>
    <row r="15" spans="1:11" ht="18" customHeight="1">
      <c r="A15" s="5" t="s">
        <v>17</v>
      </c>
      <c r="B15" s="2"/>
      <c r="C15" s="33"/>
      <c r="D15" s="33"/>
      <c r="E15" s="48"/>
      <c r="F15" s="68"/>
    </row>
    <row r="16" spans="1:11" ht="18" customHeight="1">
      <c r="A16" s="14" t="s">
        <v>18</v>
      </c>
      <c r="B16" s="6">
        <f>G7</f>
        <v>0.79</v>
      </c>
      <c r="E16" s="48"/>
      <c r="F16" s="68"/>
      <c r="J16" s="33" t="str">
        <f>IF(B16&lt;J9, CONCATENATE("Under limit! ",J9,"°C/W "),CONCATENATE(J9," °C/W"))</f>
        <v>0.711 °C/W</v>
      </c>
      <c r="K16" s="33" t="str">
        <f>IF(B16&gt;K9, CONCATENATE("Over limit! ",K9,"°C/W"),CONCATENATE(K9,"°C/W"))</f>
        <v>0.869°C/W</v>
      </c>
    </row>
    <row r="17" spans="1:7" ht="18" customHeight="1">
      <c r="A17" s="17"/>
      <c r="B17" s="18"/>
      <c r="C17" s="34"/>
      <c r="D17" s="34"/>
      <c r="E17" s="48"/>
      <c r="F17" s="68"/>
      <c r="G17" s="69">
        <f>10*LOG(G6/G5)</f>
        <v>22.299666398385355</v>
      </c>
    </row>
    <row r="18" spans="1:7" ht="18" customHeight="1">
      <c r="A18" s="21" t="s">
        <v>19</v>
      </c>
      <c r="B18" s="9"/>
      <c r="C18" s="9"/>
      <c r="D18" s="16"/>
      <c r="E18" s="48"/>
      <c r="F18" s="68"/>
      <c r="G18" s="69">
        <f>G6/G3/0.256</f>
        <v>1.40625</v>
      </c>
    </row>
    <row r="19" spans="1:7" ht="18" customHeight="1">
      <c r="A19" s="4" t="str">
        <f>CONCATENATE("When Tcase Temp = ", ROUND(I3, 1), "°C")</f>
        <v>When Tcase Temp = 76°C</v>
      </c>
      <c r="B19" s="4" t="s">
        <v>20</v>
      </c>
      <c r="C19" s="4" t="s">
        <v>21</v>
      </c>
      <c r="D19" s="4" t="str">
        <f>IF(G20&gt;K3,CONCATENATE("If Tcase Temp = ", B8, "°C"),"Stage Over Temp?")</f>
        <v>Stage Over Temp?</v>
      </c>
    </row>
    <row r="20" spans="1:7" ht="18" customHeight="1">
      <c r="A20" s="16" t="s">
        <v>22</v>
      </c>
      <c r="B20" s="50">
        <f>152000/(100000000*I5/G2)^2*EXP(0.66/0.0000863/(273+I3+I9*(I4*I5+I6-I7)))</f>
        <v>3522.8077387228809</v>
      </c>
      <c r="C20" s="44">
        <f>I3+I9*(I4*I5+I6-I7)</f>
        <v>117.41061500000001</v>
      </c>
      <c r="D20" s="38" t="str">
        <f>IF(B8+I9*(I4*I5+I6-I7)&gt;K3, CONCATENATE(ROUND(B8+I9*(I4*I5+I6-I7)-K3,0),"°C ","Over Tj max."), "None")</f>
        <v>None</v>
      </c>
      <c r="G20" s="70"/>
    </row>
    <row r="21" spans="1:7" ht="18" customHeight="1">
      <c r="A21" s="36" t="s">
        <v>23</v>
      </c>
      <c r="B21" s="13" t="s">
        <v>24</v>
      </c>
      <c r="C21" s="13" t="str">
        <f>CONCATENATE("Tj max Allowed ",I10, " °C ")</f>
        <v xml:space="preserve">Tj max Allowed 225 °C </v>
      </c>
      <c r="D21" s="13" t="str">
        <f>CONCATENATE("Tj max Allowed ",I10, " °C ")</f>
        <v xml:space="preserve">Tj max Allowed 225 °C </v>
      </c>
      <c r="F21" s="68"/>
    </row>
    <row r="22" spans="1:7" ht="18" customHeight="1">
      <c r="A22" s="35" t="s">
        <v>0</v>
      </c>
      <c r="B22" s="1"/>
      <c r="D22" s="16"/>
      <c r="E22" s="47" t="s">
        <v>0</v>
      </c>
      <c r="F22" s="68"/>
      <c r="G22" s="69"/>
    </row>
    <row r="23" spans="1:7" ht="18" customHeight="1" thickBot="1">
      <c r="A23" s="22" t="s">
        <v>25</v>
      </c>
      <c r="B23" s="23"/>
      <c r="C23" s="23"/>
      <c r="D23" s="23"/>
      <c r="E23" s="48"/>
      <c r="F23" s="68"/>
    </row>
    <row r="24" spans="1:7" ht="18" customHeight="1">
      <c r="A24" s="24" t="s">
        <v>26</v>
      </c>
      <c r="B24" s="25" t="str">
        <f>CONCATENATE(ROUND(B20,0), " Years")</f>
        <v>3523 Years</v>
      </c>
      <c r="C24" s="42" t="s">
        <v>27</v>
      </c>
      <c r="D24" s="26" t="str">
        <f>CONCATENATE(" ",ROUND(I3, 1), " °C ")</f>
        <v xml:space="preserve"> 76 °C </v>
      </c>
    </row>
    <row r="25" spans="1:7" ht="18" customHeight="1" thickBot="1">
      <c r="A25" s="27" t="s">
        <v>28</v>
      </c>
      <c r="B25" s="28" t="str">
        <f>CONCATENATE(B13," Years")</f>
        <v>10 Years</v>
      </c>
      <c r="C25" s="43" t="s">
        <v>29</v>
      </c>
      <c r="D25" s="45">
        <f xml:space="preserve"> LOGNORMDIST(B13*365*24,LN(B20*365*24),0.8)*2*1000000000/8760/B13</f>
        <v>2.6168340100643623E-9</v>
      </c>
    </row>
    <row r="26" spans="1:7" ht="18" customHeight="1">
      <c r="A26" s="29" t="s">
        <v>30</v>
      </c>
      <c r="B26" s="30"/>
      <c r="C26" s="31"/>
      <c r="D26" s="32"/>
    </row>
    <row r="27" spans="1:7" ht="18" customHeight="1">
      <c r="A27" s="29" t="s">
        <v>31</v>
      </c>
      <c r="B27" s="30"/>
      <c r="C27" s="31"/>
      <c r="D27" s="32"/>
    </row>
    <row r="28" spans="1:7" ht="18" customHeight="1">
      <c r="A28" s="37" t="s">
        <v>32</v>
      </c>
      <c r="B28" s="30"/>
      <c r="C28" s="31"/>
      <c r="D28" s="32"/>
      <c r="G28" s="69"/>
    </row>
    <row r="29" spans="1:7" ht="18" customHeight="1"/>
    <row r="30" spans="1:7" ht="18" customHeight="1">
      <c r="A30" s="46" t="str">
        <f>IF(G20&gt;K3, CONCATENATE("Case Temperature was modified to ",ROUND(I3, 1)," °C based on maximum die junction temperature allowed."),"")</f>
        <v/>
      </c>
      <c r="B30" s="19"/>
      <c r="C30" s="20"/>
      <c r="D30" s="20"/>
    </row>
    <row r="31" spans="1:7" ht="18" customHeight="1">
      <c r="A31" s="10" t="str">
        <f>IF(G20&gt;K3, "Better Heatsink, Cooling Systems or Operating conditions are Necessary to Reduce the Case Temperature","")</f>
        <v/>
      </c>
      <c r="B31" s="9"/>
      <c r="C31" s="9"/>
      <c r="D31" s="9"/>
      <c r="E31" s="49"/>
      <c r="F31" s="68" t="s">
        <v>0</v>
      </c>
    </row>
    <row r="32" spans="1:7" ht="15.75">
      <c r="A32" s="10"/>
      <c r="B32" s="39"/>
      <c r="C32" s="39"/>
      <c r="D32" s="39"/>
      <c r="E32" s="49"/>
      <c r="F32" s="68"/>
    </row>
    <row r="33" spans="1:6" ht="15.75">
      <c r="E33" s="49"/>
      <c r="F33" s="68"/>
    </row>
    <row r="34" spans="1:6" ht="15.75">
      <c r="E34" s="49"/>
      <c r="F34" s="68"/>
    </row>
    <row r="35" spans="1:6" ht="15.75">
      <c r="E35" s="49"/>
      <c r="F35" s="68"/>
    </row>
    <row r="36" spans="1:6" ht="15.75">
      <c r="E36" s="49"/>
      <c r="F36" s="68"/>
    </row>
    <row r="37" spans="1:6" ht="15.75">
      <c r="E37" s="49"/>
      <c r="F37" s="68"/>
    </row>
    <row r="38" spans="1:6" ht="15.75">
      <c r="E38" s="49"/>
      <c r="F38" s="68"/>
    </row>
    <row r="39" spans="1:6" ht="15.75">
      <c r="E39" s="49"/>
      <c r="F39" s="68"/>
    </row>
    <row r="40" spans="1:6" ht="15.75">
      <c r="E40" s="49"/>
      <c r="F40" s="68"/>
    </row>
    <row r="41" spans="1:6" ht="15.75">
      <c r="E41" s="49"/>
      <c r="F41" s="68"/>
    </row>
    <row r="42" spans="1:6" ht="15.75">
      <c r="A42" s="10"/>
      <c r="B42" s="9"/>
      <c r="C42" s="9"/>
      <c r="D42" s="9"/>
      <c r="E42" s="49"/>
      <c r="F42" s="68"/>
    </row>
    <row r="43" spans="1:6" ht="15.75">
      <c r="D43" s="9"/>
      <c r="E43" s="49"/>
      <c r="F43" s="68"/>
    </row>
    <row r="44" spans="1:6">
      <c r="D44" s="1"/>
    </row>
    <row r="45" spans="1:6" ht="15">
      <c r="D45" s="3"/>
    </row>
    <row r="46" spans="1:6" ht="15">
      <c r="D46" s="3"/>
    </row>
    <row r="48" spans="1:6" ht="15">
      <c r="D48" s="3"/>
    </row>
    <row r="49" spans="4:4" ht="15">
      <c r="D49" s="3"/>
    </row>
    <row r="51" spans="4:4" ht="15">
      <c r="D51" s="3"/>
    </row>
    <row r="52" spans="4:4" ht="15">
      <c r="D52" s="3"/>
    </row>
  </sheetData>
  <mergeCells count="1">
    <mergeCell ref="H1:K1"/>
  </mergeCells>
  <phoneticPr fontId="16" type="noConversion"/>
  <pageMargins left="0" right="0" top="1" bottom="1" header="0.5" footer="0.5"/>
  <pageSetup scale="6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zoomScale="75" workbookViewId="0">
      <selection activeCell="E35" sqref="E35"/>
    </sheetView>
  </sheetViews>
  <sheetFormatPr defaultRowHeight="12.75"/>
  <cols>
    <col min="1" max="1" width="38.5703125" customWidth="1"/>
    <col min="2" max="2" width="26.140625" customWidth="1"/>
    <col min="3" max="3" width="23.140625" customWidth="1"/>
    <col min="4" max="4" width="22.5703125" customWidth="1"/>
    <col min="5" max="5" width="5.42578125" style="5" customWidth="1"/>
    <col min="6" max="6" width="18.140625" style="53" customWidth="1"/>
    <col min="7" max="7" width="17.140625" style="53" customWidth="1"/>
    <col min="8" max="8" width="17.7109375" style="53" customWidth="1"/>
    <col min="9" max="9" width="15.7109375" style="53" customWidth="1"/>
    <col min="10" max="10" width="16.7109375" style="53" customWidth="1"/>
    <col min="11" max="11" width="20.85546875" style="53" customWidth="1"/>
    <col min="12" max="12" width="9.140625" style="53" customWidth="1"/>
    <col min="13" max="18" width="9.140625" style="41" customWidth="1"/>
  </cols>
  <sheetData>
    <row r="1" spans="1:11" ht="30" customHeight="1">
      <c r="A1" s="11" t="str">
        <f>CONCATENATE("Electromigration MTTF Calculations for Device ",G1," Rev0")</f>
        <v>Electromigration MTTF Calculations for Device MRF6VP3091N_CW 90W Rev0</v>
      </c>
      <c r="F1" s="51" t="s">
        <v>33</v>
      </c>
      <c r="G1" s="52" t="s">
        <v>42</v>
      </c>
      <c r="H1" s="72" t="s">
        <v>1</v>
      </c>
      <c r="I1" s="73"/>
      <c r="J1" s="73"/>
      <c r="K1" s="73"/>
    </row>
    <row r="2" spans="1:11" ht="18" customHeight="1">
      <c r="A2" s="5" t="s">
        <v>2</v>
      </c>
      <c r="F2" s="51" t="s">
        <v>34</v>
      </c>
      <c r="G2" s="54">
        <v>1193.7</v>
      </c>
      <c r="H2" s="33" t="s">
        <v>3</v>
      </c>
      <c r="I2" s="33" t="s">
        <v>4</v>
      </c>
      <c r="J2" s="33" t="s">
        <v>5</v>
      </c>
      <c r="K2" s="33" t="s">
        <v>6</v>
      </c>
    </row>
    <row r="3" spans="1:11" ht="18" customHeight="1">
      <c r="A3" s="5" t="s">
        <v>7</v>
      </c>
      <c r="F3" s="33" t="s">
        <v>10</v>
      </c>
      <c r="G3" s="54">
        <v>50</v>
      </c>
      <c r="H3" s="55" t="s">
        <v>8</v>
      </c>
      <c r="I3" s="56">
        <f>IF(G20&gt;K3, B8-(G20-K3  ),  B8)</f>
        <v>80</v>
      </c>
      <c r="J3" s="33">
        <v>0</v>
      </c>
      <c r="K3" s="57">
        <v>225</v>
      </c>
    </row>
    <row r="4" spans="1:11" ht="18" customHeight="1">
      <c r="A4" s="12" t="s">
        <v>9</v>
      </c>
      <c r="F4" s="33" t="s">
        <v>11</v>
      </c>
      <c r="G4" s="58">
        <f>G18</f>
        <v>3.1858407079646023</v>
      </c>
      <c r="H4" s="59" t="s">
        <v>10</v>
      </c>
      <c r="I4" s="60">
        <f>IF(B9&lt;J4,J4,IF(B9&gt;K4,K4,B9))</f>
        <v>50</v>
      </c>
      <c r="J4" s="33">
        <v>9</v>
      </c>
      <c r="K4" s="33">
        <v>60</v>
      </c>
    </row>
    <row r="5" spans="1:11" ht="18" customHeight="1">
      <c r="A5" s="12" t="s">
        <v>0</v>
      </c>
      <c r="F5" s="33" t="s">
        <v>13</v>
      </c>
      <c r="G5" s="61">
        <v>0.51700000000000002</v>
      </c>
      <c r="H5" s="62" t="s">
        <v>11</v>
      </c>
      <c r="I5" s="33">
        <f>IF(B10&lt;J5,J5,IF(B10&gt;K5,K5,B10))</f>
        <v>3.1858407079646023</v>
      </c>
      <c r="J5" s="60">
        <v>1E-3</v>
      </c>
      <c r="K5" s="33">
        <v>35</v>
      </c>
    </row>
    <row r="6" spans="1:11" ht="18" customHeight="1">
      <c r="A6" s="5" t="s">
        <v>12</v>
      </c>
      <c r="F6" s="33" t="s">
        <v>15</v>
      </c>
      <c r="G6" s="54">
        <v>90</v>
      </c>
      <c r="H6" s="59" t="s">
        <v>13</v>
      </c>
      <c r="I6" s="33">
        <f>IF(B11&lt;J6,J6,IF(B11&gt;K6,K6,B11))</f>
        <v>0.51700000000000002</v>
      </c>
      <c r="J6" s="63">
        <v>0</v>
      </c>
      <c r="K6" s="33">
        <v>250</v>
      </c>
    </row>
    <row r="7" spans="1:11" ht="18" customHeight="1">
      <c r="A7" s="7" t="s">
        <v>3</v>
      </c>
      <c r="B7" s="7" t="s">
        <v>4</v>
      </c>
      <c r="C7" s="7" t="s">
        <v>5</v>
      </c>
      <c r="D7" s="7" t="s">
        <v>14</v>
      </c>
      <c r="F7" s="64" t="s">
        <v>37</v>
      </c>
      <c r="G7" s="54">
        <v>0.82</v>
      </c>
      <c r="H7" s="59" t="s">
        <v>15</v>
      </c>
      <c r="I7" s="33">
        <f>IF(B12&lt;J7,J7,IF(B12&gt;K7,K7,B12))</f>
        <v>90</v>
      </c>
      <c r="J7" s="63">
        <v>0</v>
      </c>
      <c r="K7" s="33">
        <v>1500</v>
      </c>
    </row>
    <row r="8" spans="1:11" ht="18" customHeight="1">
      <c r="A8" s="7" t="s">
        <v>8</v>
      </c>
      <c r="B8" s="40">
        <f>G11</f>
        <v>80</v>
      </c>
      <c r="C8" s="8" t="str">
        <f>IF(B8&lt;J3, CONCATENATE("Tcase under limit! ",J3,"°C "),CONCATENATE(J3,"°C "))</f>
        <v xml:space="preserve">0°C </v>
      </c>
      <c r="D8" s="38" t="str">
        <f>IF(B8&gt;150, CONCATENATE("Warning Tcase OVER 150°C! "),CONCATENATE("150°C "))</f>
        <v xml:space="preserve">150°C </v>
      </c>
      <c r="F8" s="64" t="s">
        <v>38</v>
      </c>
      <c r="G8" s="54">
        <f>G13</f>
        <v>0.73799999999999999</v>
      </c>
      <c r="H8" s="59" t="s">
        <v>16</v>
      </c>
      <c r="I8" s="33">
        <f>IF(B13&lt;J8,J8,IF(B13&gt;K8,K8,B13))</f>
        <v>10</v>
      </c>
      <c r="J8" s="63">
        <v>7</v>
      </c>
      <c r="K8" s="33">
        <v>30</v>
      </c>
    </row>
    <row r="9" spans="1:11" ht="18" customHeight="1">
      <c r="A9" s="7" t="s">
        <v>10</v>
      </c>
      <c r="B9" s="40">
        <f>G3</f>
        <v>50</v>
      </c>
      <c r="C9" s="8" t="str">
        <f>IF(B9&lt;J4, CONCATENATE("Vdd lnder limit! ",J4,"V "),CONCATENATE(J4,"V"))</f>
        <v>9V</v>
      </c>
      <c r="D9" s="8" t="str">
        <f>IF(B9&gt;K4, CONCATENATE("Vdd over limit! ",K4,"V "),CONCATENATE(K4,"V"))</f>
        <v>60V</v>
      </c>
      <c r="F9" s="64" t="s">
        <v>39</v>
      </c>
      <c r="G9" s="54">
        <f>H13</f>
        <v>0.90200000000000002</v>
      </c>
      <c r="H9" s="64" t="s">
        <v>40</v>
      </c>
      <c r="I9" s="33">
        <f>IF(B16&lt;J9,J9,IF(B16&gt;K9,K9,B16))</f>
        <v>0.82</v>
      </c>
      <c r="J9" s="33">
        <f>G13</f>
        <v>0.73799999999999999</v>
      </c>
      <c r="K9" s="33">
        <f>H13</f>
        <v>0.90200000000000002</v>
      </c>
    </row>
    <row r="10" spans="1:11" ht="18" customHeight="1">
      <c r="A10" s="7" t="s">
        <v>11</v>
      </c>
      <c r="B10" s="40">
        <f>G4</f>
        <v>3.1858407079646023</v>
      </c>
      <c r="C10" s="8" t="str">
        <f>IF(B10&lt;J5, CONCATENATE("Id3 under limit! ",J5,"A "),CONCATENATE(J5,"A"))</f>
        <v>0.001A</v>
      </c>
      <c r="D10" s="8" t="str">
        <f>IF(B10&gt;K5, CONCATENATE("Vdd over limit! ",K5,"A "),CONCATENATE(K5,"A"))</f>
        <v>35A</v>
      </c>
      <c r="F10" s="33" t="s">
        <v>35</v>
      </c>
      <c r="G10" s="54">
        <v>150</v>
      </c>
      <c r="H10" s="65" t="s">
        <v>36</v>
      </c>
      <c r="I10" s="65">
        <v>225</v>
      </c>
    </row>
    <row r="11" spans="1:11" ht="18" customHeight="1">
      <c r="A11" s="7" t="s">
        <v>13</v>
      </c>
      <c r="B11" s="40">
        <f>G5</f>
        <v>0.51700000000000002</v>
      </c>
      <c r="C11" s="8" t="str">
        <f>IF(B11&lt;J6, CONCATENATE("Vdd under limit! ",J6,"W "),CONCATENATE(J6,"W"))</f>
        <v>0W</v>
      </c>
      <c r="D11" s="8" t="str">
        <f>IF(B11&gt;K6, CONCATENATE("Vdd over limit! ",K6,"W "),CONCATENATE(K6,"W"))</f>
        <v>250W</v>
      </c>
      <c r="F11" s="33" t="s">
        <v>8</v>
      </c>
      <c r="G11" s="71">
        <v>80</v>
      </c>
    </row>
    <row r="12" spans="1:11" ht="18" customHeight="1">
      <c r="A12" s="7" t="s">
        <v>15</v>
      </c>
      <c r="B12" s="40">
        <f>G6</f>
        <v>90</v>
      </c>
      <c r="C12" s="8" t="str">
        <f>IF(B12&lt;J7, CONCATENATE("Vdd under limit! ",J7,"W "),CONCATENATE(J7,"W"))</f>
        <v>0W</v>
      </c>
      <c r="D12" s="8" t="str">
        <f>IF(B12&gt;K7, CONCATENATE("Vdd over limit! ",K7,"W"),CONCATENATE(K7,"W"))</f>
        <v>1500W</v>
      </c>
      <c r="E12" s="48"/>
      <c r="F12" s="55"/>
      <c r="G12" s="66"/>
    </row>
    <row r="13" spans="1:11" ht="18" customHeight="1">
      <c r="A13" s="7" t="s">
        <v>16</v>
      </c>
      <c r="B13" s="7">
        <v>10</v>
      </c>
      <c r="C13" s="8" t="str">
        <f>IF(B13&lt;J8, CONCATENATE("Vdd under limit! ",J8,"yrs "),CONCATENATE(J8,"yrs"))</f>
        <v>7yrs</v>
      </c>
      <c r="D13" s="8" t="str">
        <f>IF(B13&gt;K8, CONCATENATE("Vdd over limit! ",K8,"yrs"),CONCATENATE(K8,"yrs"))</f>
        <v>30yrs</v>
      </c>
      <c r="E13" s="48"/>
      <c r="F13" s="67" t="s">
        <v>41</v>
      </c>
      <c r="G13" s="53">
        <f>G7*0.9</f>
        <v>0.73799999999999999</v>
      </c>
      <c r="H13" s="53">
        <f>G7*1.1</f>
        <v>0.90200000000000002</v>
      </c>
    </row>
    <row r="14" spans="1:11" ht="18" customHeight="1">
      <c r="A14" s="15"/>
      <c r="B14" s="2"/>
      <c r="C14" s="16"/>
      <c r="D14" s="16"/>
      <c r="E14" s="48"/>
      <c r="F14" s="68"/>
    </row>
    <row r="15" spans="1:11" ht="18" customHeight="1">
      <c r="A15" s="5" t="s">
        <v>17</v>
      </c>
      <c r="B15" s="2"/>
      <c r="C15" s="33"/>
      <c r="D15" s="33"/>
      <c r="E15" s="48"/>
      <c r="F15" s="68"/>
    </row>
    <row r="16" spans="1:11" ht="18" customHeight="1">
      <c r="A16" s="14" t="s">
        <v>18</v>
      </c>
      <c r="B16" s="6">
        <f>G7</f>
        <v>0.82</v>
      </c>
      <c r="E16" s="48"/>
      <c r="F16" s="68"/>
      <c r="J16" s="33" t="str">
        <f>IF(B16&lt;J9, CONCATENATE("Under limit! ",J9,"°C/W "),CONCATENATE(J9," °C/W"))</f>
        <v>0.738 °C/W</v>
      </c>
      <c r="K16" s="33" t="str">
        <f>IF(B16&gt;K9, CONCATENATE("Over limit! ",K9,"°C/W"),CONCATENATE(K9,"°C/W"))</f>
        <v>0.902°C/W</v>
      </c>
    </row>
    <row r="17" spans="1:7" ht="18" customHeight="1">
      <c r="A17" s="17"/>
      <c r="B17" s="18"/>
      <c r="C17" s="34"/>
      <c r="D17" s="34"/>
      <c r="E17" s="48"/>
      <c r="F17" s="68"/>
      <c r="G17" s="69">
        <f>10*LOG(G6/G5)</f>
        <v>22.407519663453822</v>
      </c>
    </row>
    <row r="18" spans="1:7" ht="18" customHeight="1">
      <c r="A18" s="21" t="s">
        <v>19</v>
      </c>
      <c r="B18" s="9"/>
      <c r="C18" s="9"/>
      <c r="D18" s="16"/>
      <c r="E18" s="48"/>
      <c r="F18" s="68"/>
      <c r="G18" s="69">
        <f>G6/G3/0.565</f>
        <v>3.1858407079646023</v>
      </c>
    </row>
    <row r="19" spans="1:7" ht="18" customHeight="1">
      <c r="A19" s="4" t="str">
        <f>CONCATENATE("When Tcase Temp = ", ROUND(I3, 1), "°C")</f>
        <v>When Tcase Temp = 80°C</v>
      </c>
      <c r="B19" s="4" t="s">
        <v>20</v>
      </c>
      <c r="C19" s="4" t="s">
        <v>21</v>
      </c>
      <c r="D19" s="4" t="str">
        <f>IF(G20&gt;K3,CONCATENATE("If Tcase Temp = ", B8, "°C"),"Stage Over Temp?")</f>
        <v>Stage Over Temp?</v>
      </c>
    </row>
    <row r="20" spans="1:7" ht="18" customHeight="1">
      <c r="A20" s="16" t="s">
        <v>22</v>
      </c>
      <c r="B20" s="50">
        <f>152000/(100000000*I5/G2)^2*EXP(0.66/0.0000863/(273+I3+I9*(I4*I5+I6-I7)))</f>
        <v>266.24741148989375</v>
      </c>
      <c r="C20" s="44">
        <f>I3+I9*(I4*I5+I6-I7)</f>
        <v>137.2434090265487</v>
      </c>
      <c r="D20" s="38" t="str">
        <f>IF(B8+I9*(I4*I5+I6-I7)&gt;K3, CONCATENATE(ROUND(B8+I9*(I4*I5+I6-I7)-K3,0),"°C ","Over Tj max."), "None")</f>
        <v>None</v>
      </c>
      <c r="G20" s="70"/>
    </row>
    <row r="21" spans="1:7" ht="18" customHeight="1">
      <c r="A21" s="36" t="s">
        <v>23</v>
      </c>
      <c r="B21" s="13" t="s">
        <v>24</v>
      </c>
      <c r="C21" s="13" t="str">
        <f>CONCATENATE("Tj max Allowed ",I10, " °C ")</f>
        <v xml:space="preserve">Tj max Allowed 225 °C </v>
      </c>
      <c r="D21" s="13" t="str">
        <f>CONCATENATE("Tj max Allowed ",I10, " °C ")</f>
        <v xml:space="preserve">Tj max Allowed 225 °C </v>
      </c>
      <c r="F21" s="68"/>
    </row>
    <row r="22" spans="1:7" ht="18" customHeight="1">
      <c r="A22" s="35" t="s">
        <v>0</v>
      </c>
      <c r="B22" s="1"/>
      <c r="D22" s="16"/>
      <c r="E22" s="47" t="s">
        <v>0</v>
      </c>
      <c r="F22" s="68"/>
      <c r="G22" s="69"/>
    </row>
    <row r="23" spans="1:7" ht="18" customHeight="1" thickBot="1">
      <c r="A23" s="22" t="s">
        <v>25</v>
      </c>
      <c r="B23" s="23"/>
      <c r="C23" s="23"/>
      <c r="D23" s="23"/>
      <c r="E23" s="48"/>
      <c r="F23" s="68"/>
    </row>
    <row r="24" spans="1:7" ht="18" customHeight="1">
      <c r="A24" s="24" t="s">
        <v>26</v>
      </c>
      <c r="B24" s="25" t="str">
        <f>CONCATENATE(ROUND(B20,0), " Years")</f>
        <v>266 Years</v>
      </c>
      <c r="C24" s="42" t="s">
        <v>27</v>
      </c>
      <c r="D24" s="26" t="str">
        <f>CONCATENATE(" ",ROUND(I3, 1), " °C ")</f>
        <v xml:space="preserve"> 80 °C </v>
      </c>
    </row>
    <row r="25" spans="1:7" ht="18" customHeight="1" thickBot="1">
      <c r="A25" s="27" t="s">
        <v>28</v>
      </c>
      <c r="B25" s="28" t="str">
        <f>CONCATENATE(B13," Years")</f>
        <v>10 Years</v>
      </c>
      <c r="C25" s="43" t="s">
        <v>29</v>
      </c>
      <c r="D25" s="45">
        <f xml:space="preserve"> LOGNORMDIST(B13*365*24,LN(B20*365*24),0.8)*2*1000000000/8760/B13</f>
        <v>0.46696508119946217</v>
      </c>
    </row>
    <row r="26" spans="1:7" ht="18" customHeight="1">
      <c r="A26" s="29" t="s">
        <v>30</v>
      </c>
      <c r="B26" s="30"/>
      <c r="C26" s="31"/>
      <c r="D26" s="32"/>
    </row>
    <row r="27" spans="1:7" ht="18" customHeight="1">
      <c r="A27" s="29" t="s">
        <v>31</v>
      </c>
      <c r="B27" s="30"/>
      <c r="C27" s="31"/>
      <c r="D27" s="32"/>
    </row>
    <row r="28" spans="1:7" ht="18" customHeight="1">
      <c r="A28" s="37" t="s">
        <v>32</v>
      </c>
      <c r="B28" s="30"/>
      <c r="C28" s="31"/>
      <c r="D28" s="32"/>
      <c r="G28" s="69"/>
    </row>
    <row r="29" spans="1:7" ht="18" customHeight="1"/>
    <row r="30" spans="1:7" ht="18" customHeight="1">
      <c r="A30" s="46" t="str">
        <f>IF(G20&gt;K3, CONCATENATE("Case Temperature was modified to ",ROUND(I3, 1)," °C based on maximum die junction temperature allowed."),"")</f>
        <v/>
      </c>
      <c r="B30" s="19"/>
      <c r="C30" s="20"/>
      <c r="D30" s="20"/>
    </row>
    <row r="31" spans="1:7" ht="18" customHeight="1">
      <c r="A31" s="10" t="str">
        <f>IF(G20&gt;K3, "Better Heatsink, Cooling Systems or Operating conditions are Necessary to Reduce the Case Temperature","")</f>
        <v/>
      </c>
      <c r="B31" s="9"/>
      <c r="C31" s="9"/>
      <c r="D31" s="9"/>
      <c r="E31" s="49"/>
      <c r="F31" s="68" t="s">
        <v>0</v>
      </c>
    </row>
    <row r="32" spans="1:7" ht="15.75">
      <c r="A32" s="10"/>
      <c r="B32" s="39"/>
      <c r="C32" s="39"/>
      <c r="D32" s="39"/>
      <c r="E32" s="49"/>
      <c r="F32" s="68"/>
    </row>
    <row r="33" spans="1:6" ht="15.75">
      <c r="E33" s="49"/>
      <c r="F33" s="68"/>
    </row>
    <row r="34" spans="1:6" ht="15.75">
      <c r="E34" s="49"/>
      <c r="F34" s="68"/>
    </row>
    <row r="35" spans="1:6" ht="15.75">
      <c r="E35" s="49"/>
      <c r="F35" s="68"/>
    </row>
    <row r="36" spans="1:6" ht="15.75">
      <c r="E36" s="49"/>
      <c r="F36" s="68"/>
    </row>
    <row r="37" spans="1:6" ht="15.75">
      <c r="E37" s="49"/>
      <c r="F37" s="68"/>
    </row>
    <row r="38" spans="1:6" ht="15.75">
      <c r="E38" s="49"/>
      <c r="F38" s="68"/>
    </row>
    <row r="39" spans="1:6" ht="15.75">
      <c r="E39" s="49"/>
      <c r="F39" s="68"/>
    </row>
    <row r="40" spans="1:6" ht="15.75">
      <c r="E40" s="49"/>
      <c r="F40" s="68"/>
    </row>
    <row r="41" spans="1:6" ht="15.75">
      <c r="E41" s="49"/>
      <c r="F41" s="68"/>
    </row>
    <row r="42" spans="1:6" ht="15.75">
      <c r="A42" s="10"/>
      <c r="B42" s="9"/>
      <c r="C42" s="9"/>
      <c r="D42" s="9"/>
      <c r="E42" s="49"/>
      <c r="F42" s="68"/>
    </row>
    <row r="43" spans="1:6" ht="15.75">
      <c r="D43" s="9"/>
      <c r="E43" s="49"/>
      <c r="F43" s="68"/>
    </row>
    <row r="44" spans="1:6">
      <c r="D44" s="1"/>
    </row>
    <row r="45" spans="1:6" ht="15">
      <c r="D45" s="3"/>
    </row>
    <row r="46" spans="1:6" ht="15">
      <c r="D46" s="3"/>
    </row>
    <row r="48" spans="1:6" ht="15">
      <c r="D48" s="3"/>
    </row>
    <row r="49" spans="4:4" ht="15">
      <c r="D49" s="3"/>
    </row>
    <row r="51" spans="4:4" ht="15">
      <c r="D51" s="3"/>
    </row>
    <row r="52" spans="4:4" ht="15">
      <c r="D52" s="3"/>
    </row>
  </sheetData>
  <mergeCells count="1">
    <mergeCell ref="H1:K1"/>
  </mergeCells>
  <phoneticPr fontId="1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 Program</vt:lpstr>
      <vt:lpstr>CW_18W</vt:lpstr>
      <vt:lpstr>CW_90W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 MTTF Calculations 12/10/98</dc:title>
  <dc:creator>Wayne Burger</dc:creator>
  <cp:lastModifiedBy>Ric Watkins</cp:lastModifiedBy>
  <cp:lastPrinted>2009-11-03T21:18:55Z</cp:lastPrinted>
  <dcterms:created xsi:type="dcterms:W3CDTF">2002-11-13T17:41:12Z</dcterms:created>
  <dcterms:modified xsi:type="dcterms:W3CDTF">2011-09-09T03:12:01Z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779095711</vt:i4>
  </property>
  <property fmtid="{D5CDD505-2E9C-101B-9397-08002B2CF9AE}" pid="3" name="_EmailSubject">
    <vt:lpwstr>spreadsheet for HV4IC MTTF</vt:lpwstr>
  </property>
  <property fmtid="{D5CDD505-2E9C-101B-9397-08002B2CF9AE}" pid="4" name="_AuthorEmail">
    <vt:lpwstr>Wayne.Burger@motorola.com</vt:lpwstr>
  </property>
  <property fmtid="{D5CDD505-2E9C-101B-9397-08002B2CF9AE}" pid="5" name="_AuthorEmailDisplayName">
    <vt:lpwstr>Burger Wayne-rxzj40</vt:lpwstr>
  </property>
  <property fmtid="{D5CDD505-2E9C-101B-9397-08002B2CF9AE}" pid="6" name="_ReviewingToolsShownOnce">
    <vt:lpwstr/>
  </property>
</Properties>
</file>