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DATA_work\aaRicFiles\aFreescale_newWebLook\aRF_Power\MTTF_calc\aNew_MTTF\"/>
    </mc:Choice>
  </mc:AlternateContent>
  <bookViews>
    <workbookView xWindow="468" yWindow="180" windowWidth="16632" windowHeight="9588" tabRatio="545"/>
  </bookViews>
  <sheets>
    <sheet name="The Program" sheetId="2" r:id="rId1"/>
    <sheet name="CW_85W" sheetId="10" r:id="rId2"/>
  </sheets>
  <calcPr calcId="171027"/>
</workbook>
</file>

<file path=xl/calcChain.xml><?xml version="1.0" encoding="utf-8"?>
<calcChain xmlns="http://schemas.openxmlformats.org/spreadsheetml/2006/main">
  <c r="B8" i="10" l="1"/>
  <c r="D13" i="10" l="1"/>
  <c r="G18" i="10" l="1"/>
  <c r="B25" i="10"/>
  <c r="D21" i="10"/>
  <c r="C21" i="10"/>
  <c r="G19" i="10"/>
  <c r="H16" i="10"/>
  <c r="K9" i="10" s="1"/>
  <c r="G16" i="10"/>
  <c r="B16" i="10"/>
  <c r="C13" i="10"/>
  <c r="B12" i="10"/>
  <c r="D12" i="10" s="1"/>
  <c r="B11" i="10"/>
  <c r="D11" i="10" s="1"/>
  <c r="B9" i="10"/>
  <c r="I4" i="10" s="1"/>
  <c r="I8" i="10"/>
  <c r="J9" i="10"/>
  <c r="B10" i="10"/>
  <c r="K3" i="10"/>
  <c r="D19" i="10" s="1"/>
  <c r="A1" i="10"/>
  <c r="C8" i="10"/>
  <c r="D8" i="10"/>
  <c r="K16" i="10" l="1"/>
  <c r="C9" i="10"/>
  <c r="D9" i="10"/>
  <c r="D10" i="10"/>
  <c r="I5" i="10"/>
  <c r="A30" i="10"/>
  <c r="C11" i="10"/>
  <c r="C10" i="10"/>
  <c r="C12" i="10"/>
  <c r="I7" i="10"/>
  <c r="I3" i="10"/>
  <c r="A31" i="10"/>
  <c r="I6" i="10"/>
  <c r="J16" i="10"/>
  <c r="I9" i="10"/>
  <c r="B20" i="10" l="1"/>
  <c r="D25" i="10" s="1"/>
  <c r="D20" i="10"/>
  <c r="D24" i="10"/>
  <c r="A19" i="10"/>
  <c r="C20" i="10"/>
  <c r="B24" i="10" l="1"/>
</calcChain>
</file>

<file path=xl/sharedStrings.xml><?xml version="1.0" encoding="utf-8"?>
<sst xmlns="http://schemas.openxmlformats.org/spreadsheetml/2006/main" count="59" uniqueCount="42">
  <si>
    <t xml:space="preserve"> </t>
  </si>
  <si>
    <t>Table 5. Input &amp; Device Variables used for Electromigration MTTF calculation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</si>
  <si>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</si>
  <si>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</si>
  <si>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</si>
  <si>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</si>
  <si>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</si>
  <si>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</si>
  <si>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</si>
  <si>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</si>
  <si>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</si>
  <si>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</si>
  <si>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</si>
  <si>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</si>
  <si>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</si>
  <si>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</si>
  <si>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</si>
  <si>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</si>
  <si>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</si>
  <si>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</si>
  <si>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</si>
  <si>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</si>
  <si>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</si>
  <si>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</si>
  <si>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</si>
  <si>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</si>
  <si>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</si>
  <si>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</si>
  <si>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Device</t>
  </si>
  <si>
    <t>Stage1_Par</t>
  </si>
  <si>
    <t>Tcase (°C) U</t>
  </si>
  <si>
    <t>Tj max.</t>
  </si>
  <si>
    <t>Input Variables Tcase, Vdd, Id1, Pin, Pout &amp; System target life</t>
  </si>
  <si>
    <t>System target life (yrs)</t>
  </si>
  <si>
    <t xml:space="preserve">When System target life is </t>
  </si>
  <si>
    <t>This approach will result in a more accurate and meaningful estimate of the FIT rate over the System life.</t>
  </si>
  <si>
    <t>MRF085H</t>
  </si>
  <si>
    <t>Device Variables, Fjc1</t>
  </si>
  <si>
    <t xml:space="preserve">Fjc1 (°C/W)  </t>
  </si>
  <si>
    <t>Fjc1 (°C/W)L</t>
  </si>
  <si>
    <t>Fjc1 (°C/W)U</t>
  </si>
  <si>
    <t>Fjc1 (°C/W)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</si>
</sst>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E+00"/>
  </numFmts>
  <fonts count="13">
    <font>
      <sz val="10"/>
      <name val="Geneva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57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167" fontId="5" fillId="2" borderId="7" xfId="0" quotePrefix="1" applyNumberFormat="1" applyFont="1" applyFill="1" applyBorder="1" applyAlignment="1">
      <alignment horizontal="center"/>
    </xf>
    <xf numFmtId="0" fontId="9" fillId="0" borderId="0" xfId="0" applyFont="1"/>
    <xf numFmtId="1" fontId="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45</xdr:row>
      <xdr:rowOff>129540</xdr:rowOff>
    </xdr:from>
    <xdr:to>
      <xdr:col>9</xdr:col>
      <xdr:colOff>106680</xdr:colOff>
      <xdr:row>57</xdr:row>
      <xdr:rowOff>91440</xdr:rowOff>
    </xdr:to>
    <xdr:pic>
      <xdr:nvPicPr>
        <xdr:cNvPr id="1043" name="Picture 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7673340"/>
          <a:ext cx="5509260" cy="1973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40581</xdr:colOff>
      <xdr:row>60</xdr:row>
      <xdr:rowOff>6177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C838D1-25ED-4D3C-9220-07F1C5A0D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136581" cy="972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>
      <selection activeCell="L9" sqref="L9"/>
    </sheetView>
  </sheetViews>
  <sheetFormatPr defaultRowHeight="13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2"/>
  <sheetViews>
    <sheetView topLeftCell="A4" zoomScale="88" zoomScaleNormal="88" workbookViewId="0">
      <selection activeCell="E17" sqref="E17"/>
    </sheetView>
  </sheetViews>
  <sheetFormatPr defaultRowHeight="14.4"/>
  <cols>
    <col min="1" max="1" width="38.5546875" style="7" customWidth="1"/>
    <col min="2" max="2" width="26.109375" style="7" customWidth="1"/>
    <col min="3" max="3" width="23.109375" style="7" customWidth="1"/>
    <col min="4" max="4" width="22.5546875" style="7" customWidth="1"/>
    <col min="5" max="5" width="5.6640625" style="8" customWidth="1"/>
    <col min="6" max="6" width="14.88671875" style="13" customWidth="1"/>
    <col min="7" max="7" width="23.6640625" style="13" customWidth="1"/>
    <col min="8" max="8" width="17.6640625" style="13" customWidth="1"/>
    <col min="9" max="9" width="13.5546875" style="13" customWidth="1"/>
    <col min="10" max="10" width="13.88671875" style="13" customWidth="1"/>
    <col min="11" max="11" width="26" style="13" customWidth="1"/>
    <col min="12" max="12" width="9.109375" style="55" customWidth="1"/>
    <col min="13" max="17" width="9.109375" style="56" customWidth="1"/>
    <col min="18" max="16384" width="8.88671875" style="7"/>
  </cols>
  <sheetData>
    <row r="1" spans="1:17" ht="18" customHeight="1">
      <c r="A1" s="1" t="str">
        <f>CONCATENATE("Electromigration MTTF Calculations for Device ",G1,", Rev0")</f>
        <v>Electromigration MTTF Calculations for Device MRF085H, Rev0</v>
      </c>
      <c r="F1" s="9" t="s">
        <v>28</v>
      </c>
      <c r="G1" s="10" t="s">
        <v>36</v>
      </c>
      <c r="H1" s="11" t="s">
        <v>1</v>
      </c>
      <c r="I1" s="12"/>
      <c r="J1" s="12"/>
      <c r="K1" s="12"/>
      <c r="L1" s="13"/>
      <c r="M1" s="14"/>
      <c r="N1" s="14"/>
      <c r="O1" s="7"/>
      <c r="P1" s="7"/>
      <c r="Q1" s="7"/>
    </row>
    <row r="2" spans="1:17" ht="18" customHeight="1">
      <c r="A2" s="8" t="s">
        <v>32</v>
      </c>
      <c r="F2" s="9" t="s">
        <v>29</v>
      </c>
      <c r="G2" s="10">
        <v>1297.5</v>
      </c>
      <c r="H2" s="9" t="s">
        <v>2</v>
      </c>
      <c r="I2" s="9" t="s">
        <v>3</v>
      </c>
      <c r="J2" s="9" t="s">
        <v>4</v>
      </c>
      <c r="K2" s="9" t="s">
        <v>5</v>
      </c>
      <c r="L2" s="13"/>
      <c r="M2" s="14"/>
      <c r="N2" s="14"/>
      <c r="O2" s="7"/>
      <c r="P2" s="7"/>
      <c r="Q2" s="7"/>
    </row>
    <row r="3" spans="1:17" ht="18" customHeight="1">
      <c r="A3" s="8" t="s">
        <v>37</v>
      </c>
      <c r="F3" s="9" t="s">
        <v>8</v>
      </c>
      <c r="G3" s="10">
        <v>50</v>
      </c>
      <c r="H3" s="15" t="s">
        <v>6</v>
      </c>
      <c r="I3" s="16">
        <f>IF(G20&gt;K3, B8-(G20-K3  ),  B8)</f>
        <v>85</v>
      </c>
      <c r="J3" s="9">
        <v>0</v>
      </c>
      <c r="K3" s="9">
        <f>G10</f>
        <v>150</v>
      </c>
      <c r="L3" s="13"/>
      <c r="M3" s="14"/>
      <c r="N3" s="14"/>
      <c r="O3" s="7"/>
      <c r="P3" s="7"/>
      <c r="Q3" s="7"/>
    </row>
    <row r="4" spans="1:17" ht="18" customHeight="1">
      <c r="A4" s="7" t="s">
        <v>7</v>
      </c>
      <c r="F4" s="9" t="s">
        <v>9</v>
      </c>
      <c r="G4" s="17">
        <v>2.387640449438202</v>
      </c>
      <c r="H4" s="15" t="s">
        <v>8</v>
      </c>
      <c r="I4" s="18">
        <f>IF(B9&lt;J4,J4,IF(B9&gt;K4,K4,B9))</f>
        <v>50</v>
      </c>
      <c r="J4" s="9">
        <v>5</v>
      </c>
      <c r="K4" s="9">
        <v>60</v>
      </c>
      <c r="L4" s="13"/>
      <c r="M4" s="14"/>
      <c r="N4" s="14"/>
      <c r="O4" s="7"/>
      <c r="P4" s="7"/>
      <c r="Q4" s="7"/>
    </row>
    <row r="5" spans="1:17" ht="18" customHeight="1">
      <c r="A5" s="7" t="s">
        <v>0</v>
      </c>
      <c r="F5" s="9" t="s">
        <v>11</v>
      </c>
      <c r="G5" s="17">
        <v>0.46710974277898115</v>
      </c>
      <c r="H5" s="19" t="s">
        <v>9</v>
      </c>
      <c r="I5" s="18">
        <f>IF(B10&lt;J5,J5,IF(B10&gt;K5,K5,B10))</f>
        <v>2.387640449438202</v>
      </c>
      <c r="J5" s="20">
        <v>1E-3</v>
      </c>
      <c r="K5" s="9">
        <v>40</v>
      </c>
      <c r="L5" s="13"/>
      <c r="M5" s="14"/>
      <c r="N5" s="14"/>
      <c r="O5" s="7"/>
      <c r="P5" s="7"/>
      <c r="Q5" s="7"/>
    </row>
    <row r="6" spans="1:17" ht="18" customHeight="1">
      <c r="A6" s="8" t="s">
        <v>10</v>
      </c>
      <c r="F6" s="9" t="s">
        <v>13</v>
      </c>
      <c r="G6" s="10">
        <v>85</v>
      </c>
      <c r="H6" s="15" t="s">
        <v>11</v>
      </c>
      <c r="I6" s="9">
        <f>IF(B11&lt;J6,J6,IF(B11&gt;K6,K6,B11))</f>
        <v>0.46710974277898115</v>
      </c>
      <c r="J6" s="12">
        <v>0</v>
      </c>
      <c r="K6" s="9">
        <v>15</v>
      </c>
      <c r="L6" s="13"/>
      <c r="M6" s="14"/>
      <c r="N6" s="14"/>
      <c r="O6" s="7"/>
      <c r="P6" s="7"/>
      <c r="Q6" s="7"/>
    </row>
    <row r="7" spans="1:17" ht="18" customHeight="1">
      <c r="A7" s="21" t="s">
        <v>2</v>
      </c>
      <c r="B7" s="21" t="s">
        <v>3</v>
      </c>
      <c r="C7" s="21" t="s">
        <v>4</v>
      </c>
      <c r="D7" s="21" t="s">
        <v>12</v>
      </c>
      <c r="F7" s="15" t="s">
        <v>38</v>
      </c>
      <c r="G7" s="10">
        <v>0.85</v>
      </c>
      <c r="H7" s="15" t="s">
        <v>13</v>
      </c>
      <c r="I7" s="9">
        <f>IF(B12&lt;J7,J7,IF(B12&gt;K7,K7,B12))</f>
        <v>85</v>
      </c>
      <c r="J7" s="12">
        <v>0</v>
      </c>
      <c r="K7" s="9">
        <v>1500</v>
      </c>
      <c r="L7" s="13"/>
      <c r="M7" s="14"/>
      <c r="N7" s="14"/>
      <c r="O7" s="7"/>
      <c r="P7" s="7"/>
      <c r="Q7" s="7"/>
    </row>
    <row r="8" spans="1:17" ht="18" customHeight="1">
      <c r="A8" s="21" t="s">
        <v>6</v>
      </c>
      <c r="B8" s="22">
        <f>G11</f>
        <v>85</v>
      </c>
      <c r="C8" s="23" t="str">
        <f>IF(B8&lt;J3, CONCATENATE("Tcase under limit! ",J3,"°C "),CONCATENATE(J3,"°C "))</f>
        <v xml:space="preserve">0°C </v>
      </c>
      <c r="D8" s="23" t="str">
        <f>IF(B8&gt;150, CONCATENATE("Warning Tcase OVER 150°C! "),CONCATENATE("150°C "))</f>
        <v xml:space="preserve">150°C </v>
      </c>
      <c r="F8" s="15" t="s">
        <v>39</v>
      </c>
      <c r="G8" s="10">
        <v>0.76500000000000001</v>
      </c>
      <c r="H8" s="15" t="s">
        <v>14</v>
      </c>
      <c r="I8" s="9">
        <f>IF(B13&lt;J8,J8,IF(B13&gt;K8,K8,B13))</f>
        <v>10</v>
      </c>
      <c r="J8" s="12">
        <v>7</v>
      </c>
      <c r="K8" s="9">
        <v>30</v>
      </c>
      <c r="L8" s="13"/>
      <c r="M8" s="14"/>
      <c r="N8" s="14"/>
      <c r="O8" s="7"/>
      <c r="P8" s="7"/>
      <c r="Q8" s="7"/>
    </row>
    <row r="9" spans="1:17" ht="18" customHeight="1">
      <c r="A9" s="21" t="s">
        <v>8</v>
      </c>
      <c r="B9" s="22">
        <f>G3</f>
        <v>50</v>
      </c>
      <c r="C9" s="23" t="str">
        <f>IF(B9&lt;J4, CONCATENATE("Vdd lnder limit! ",J4,"V "),CONCATENATE(J4,"V"))</f>
        <v>5V</v>
      </c>
      <c r="D9" s="23" t="str">
        <f>IF(B9&gt;K4, CONCATENATE("Vdd over limit! ",K4,"V "),CONCATENATE(K4,"V"))</f>
        <v>60V</v>
      </c>
      <c r="F9" s="15" t="s">
        <v>40</v>
      </c>
      <c r="G9" s="10">
        <v>0.93500000000000005</v>
      </c>
      <c r="H9" s="15" t="s">
        <v>41</v>
      </c>
      <c r="I9" s="9">
        <f>IF(B16&lt;J9,J9,IF(B16&gt;K9,K9,B16))</f>
        <v>0.85</v>
      </c>
      <c r="J9" s="9">
        <f>G8</f>
        <v>0.76500000000000001</v>
      </c>
      <c r="K9" s="9">
        <f>G9</f>
        <v>0.93500000000000005</v>
      </c>
      <c r="L9" s="13"/>
      <c r="M9" s="14"/>
      <c r="N9" s="14"/>
      <c r="O9" s="7"/>
      <c r="P9" s="7"/>
      <c r="Q9" s="7"/>
    </row>
    <row r="10" spans="1:17" ht="18" customHeight="1">
      <c r="A10" s="21" t="s">
        <v>9</v>
      </c>
      <c r="B10" s="22">
        <f>G4</f>
        <v>2.387640449438202</v>
      </c>
      <c r="C10" s="23" t="str">
        <f>IF(B10&lt;J5, CONCATENATE("Id3 under limit! ",J5,"A "),CONCATENATE(J5,"A"))</f>
        <v>0.001A</v>
      </c>
      <c r="D10" s="23" t="str">
        <f>IF(B10&gt;K5, CONCATENATE("Id1 over limit! ",K5,"A "),CONCATENATE(K5,"A"))</f>
        <v>40A</v>
      </c>
      <c r="F10" s="9" t="s">
        <v>30</v>
      </c>
      <c r="G10" s="10">
        <v>150</v>
      </c>
      <c r="H10" s="10" t="s">
        <v>31</v>
      </c>
      <c r="I10" s="10">
        <v>225</v>
      </c>
      <c r="L10" s="13"/>
      <c r="M10" s="14"/>
      <c r="N10" s="14"/>
      <c r="O10" s="7"/>
      <c r="P10" s="7"/>
      <c r="Q10" s="7"/>
    </row>
    <row r="11" spans="1:17" ht="18" customHeight="1">
      <c r="A11" s="21" t="s">
        <v>11</v>
      </c>
      <c r="B11" s="22">
        <f>G5</f>
        <v>0.46710974277898115</v>
      </c>
      <c r="C11" s="23" t="str">
        <f>IF(B11&lt;J6, CONCATENATE("Vdd under limit! ",J6,"W "),CONCATENATE(J6,"W"))</f>
        <v>0W</v>
      </c>
      <c r="D11" s="23" t="str">
        <f>IF(B11&gt;K6, CONCATENATE("Pin over limit! ",K6,"W "),CONCATENATE(K6,"W"))</f>
        <v>15W</v>
      </c>
      <c r="F11" s="9" t="s">
        <v>6</v>
      </c>
      <c r="G11" s="24">
        <v>85</v>
      </c>
      <c r="L11" s="13"/>
      <c r="M11" s="14"/>
      <c r="N11" s="14"/>
      <c r="O11" s="7"/>
      <c r="P11" s="7"/>
      <c r="Q11" s="7"/>
    </row>
    <row r="12" spans="1:17" ht="18" customHeight="1">
      <c r="A12" s="21" t="s">
        <v>13</v>
      </c>
      <c r="B12" s="22">
        <f>G6</f>
        <v>85</v>
      </c>
      <c r="C12" s="23" t="str">
        <f>IF(B12&lt;J7, CONCATENATE("Vdd under limit! ",J7,"W "),CONCATENATE(J7,"W"))</f>
        <v>0W</v>
      </c>
      <c r="D12" s="23" t="str">
        <f>IF(B12&gt;K7, CONCATENATE("Pout over limit! ",K7,"W"),CONCATENATE(K7,"W"))</f>
        <v>1500W</v>
      </c>
      <c r="E12" s="25"/>
      <c r="F12" s="15"/>
      <c r="G12" s="17">
        <v>100</v>
      </c>
      <c r="L12" s="13"/>
      <c r="M12" s="14"/>
      <c r="N12" s="14"/>
      <c r="O12" s="7"/>
      <c r="P12" s="7"/>
      <c r="Q12" s="7"/>
    </row>
    <row r="13" spans="1:17" ht="18" customHeight="1">
      <c r="A13" s="21" t="s">
        <v>33</v>
      </c>
      <c r="B13" s="21">
        <v>10</v>
      </c>
      <c r="C13" s="23" t="str">
        <f>IF(B13&lt;J8, CONCATENATE("Vdd under limit! ",J8,"yrs "),CONCATENATE(J8,"yrs"))</f>
        <v>7yrs</v>
      </c>
      <c r="D13" s="23" t="str">
        <f>IF(B13&gt;K8, CONCATENATE("Target Life over limit! ",K8,"yrs"),CONCATENATE(K8,"yrs"))</f>
        <v>30yrs</v>
      </c>
      <c r="E13" s="25"/>
      <c r="F13" s="26"/>
      <c r="L13" s="13"/>
      <c r="M13" s="14"/>
      <c r="N13" s="14"/>
      <c r="O13" s="7"/>
      <c r="P13" s="7"/>
      <c r="Q13" s="7"/>
    </row>
    <row r="14" spans="1:17" ht="18" customHeight="1">
      <c r="A14" s="27"/>
      <c r="B14" s="28"/>
      <c r="C14" s="29"/>
      <c r="D14" s="29"/>
      <c r="E14" s="25"/>
      <c r="F14" s="26"/>
      <c r="L14" s="13"/>
      <c r="M14" s="14"/>
      <c r="N14" s="14"/>
      <c r="O14" s="7"/>
      <c r="P14" s="7"/>
      <c r="Q14" s="7"/>
    </row>
    <row r="15" spans="1:17" ht="18" customHeight="1">
      <c r="A15" s="8" t="s">
        <v>15</v>
      </c>
      <c r="B15" s="28"/>
      <c r="C15" s="30"/>
      <c r="D15" s="30"/>
      <c r="E15" s="25"/>
      <c r="F15" s="26"/>
      <c r="L15" s="13"/>
      <c r="M15" s="14"/>
      <c r="N15" s="14"/>
      <c r="O15" s="7"/>
      <c r="P15" s="7"/>
      <c r="Q15" s="7"/>
    </row>
    <row r="16" spans="1:17" ht="18" customHeight="1">
      <c r="A16" s="31" t="s">
        <v>41</v>
      </c>
      <c r="B16" s="32">
        <f>G7</f>
        <v>0.85</v>
      </c>
      <c r="E16" s="25"/>
      <c r="F16" s="26"/>
      <c r="G16" s="10">
        <f>0.9*G7</f>
        <v>0.76500000000000001</v>
      </c>
      <c r="H16" s="10">
        <f>1.1*G7</f>
        <v>0.93500000000000005</v>
      </c>
      <c r="I16" s="10"/>
      <c r="J16" s="9" t="str">
        <f>IF(B16&lt;J9, CONCATENATE("Under limit! ",J9,"°C/W "),CONCATENATE(J9," °C/W"))</f>
        <v>0.765 °C/W</v>
      </c>
      <c r="K16" s="9" t="str">
        <f>IF(B16&gt;K9, CONCATENATE("Over limit! ",K9,"°C/W"),CONCATENATE(K9,"°C/W"))</f>
        <v>0.935°C/W</v>
      </c>
      <c r="L16" s="13"/>
      <c r="M16" s="14"/>
      <c r="N16" s="14"/>
      <c r="O16" s="7"/>
      <c r="P16" s="7"/>
      <c r="Q16" s="7"/>
    </row>
    <row r="17" spans="1:17" ht="18" customHeight="1">
      <c r="A17" s="27"/>
      <c r="B17" s="33"/>
      <c r="C17" s="34"/>
      <c r="D17" s="34"/>
      <c r="E17" s="25"/>
      <c r="F17" s="26"/>
      <c r="L17" s="13"/>
      <c r="M17" s="14"/>
      <c r="N17" s="14"/>
      <c r="O17" s="7"/>
      <c r="P17" s="7"/>
      <c r="Q17" s="7"/>
    </row>
    <row r="18" spans="1:17" ht="18" customHeight="1">
      <c r="A18" s="35" t="s">
        <v>16</v>
      </c>
      <c r="B18" s="36"/>
      <c r="C18" s="36"/>
      <c r="D18" s="29"/>
      <c r="E18" s="25"/>
      <c r="F18" s="26"/>
      <c r="G18" s="17">
        <f>G6/G3/0.484</f>
        <v>3.5123966942148761</v>
      </c>
      <c r="L18" s="13"/>
      <c r="M18" s="14"/>
      <c r="N18" s="14"/>
      <c r="O18" s="7"/>
      <c r="P18" s="7"/>
      <c r="Q18" s="7"/>
    </row>
    <row r="19" spans="1:17" ht="18" customHeight="1">
      <c r="A19" s="23" t="str">
        <f>CONCATENATE("When Tcase Temp = ", ROUND(I3, 1), "°C")</f>
        <v>When Tcase Temp = 85°C</v>
      </c>
      <c r="B19" s="23" t="s">
        <v>17</v>
      </c>
      <c r="C19" s="23" t="s">
        <v>18</v>
      </c>
      <c r="D19" s="23" t="str">
        <f>IF(G20&gt;K3,CONCATENATE("If Tcase Temp = ", B8, "°C"),"Stage Over Temp?")</f>
        <v>Stage Over Temp?</v>
      </c>
      <c r="G19" s="17">
        <f>10*LOG(G6/G5)</f>
        <v>22.599999999999998</v>
      </c>
      <c r="L19" s="13"/>
      <c r="M19" s="14"/>
      <c r="N19" s="14"/>
      <c r="O19" s="7"/>
      <c r="P19" s="7"/>
      <c r="Q19" s="7"/>
    </row>
    <row r="20" spans="1:17" ht="18" customHeight="1">
      <c r="A20" s="29" t="s">
        <v>19</v>
      </c>
      <c r="B20" s="37">
        <f>152000/(100000000*I5/G2)^2*EXP(0.66/0.0000863/(273+I3+I9*(I4*I5+I6-I7)))</f>
        <v>1662.2992737178272</v>
      </c>
      <c r="C20" s="38">
        <f>I3+I9*(I4*I5+I6-I7)</f>
        <v>114.62176238248573</v>
      </c>
      <c r="D20" s="23" t="str">
        <f>IF(B8+I9*(I4*I5+I6-I7)&gt;I10, CONCATENATE(ROUND(B8+I9*(I4*I5+I6-I7)-K3,0),"°C ","Over Tj max."), "None")</f>
        <v>None</v>
      </c>
      <c r="G20" s="39"/>
      <c r="L20" s="13"/>
      <c r="M20" s="14"/>
      <c r="N20" s="14"/>
      <c r="O20" s="7"/>
      <c r="P20" s="7"/>
      <c r="Q20" s="7"/>
    </row>
    <row r="21" spans="1:17" ht="18" customHeight="1">
      <c r="A21" s="23" t="s">
        <v>20</v>
      </c>
      <c r="B21" s="37" t="s">
        <v>21</v>
      </c>
      <c r="C21" s="37" t="str">
        <f>CONCATENATE("Tj max Allowed ",I10, " °C ")</f>
        <v xml:space="preserve">Tj max Allowed 225 °C </v>
      </c>
      <c r="D21" s="37" t="str">
        <f>CONCATENATE("Tj max Allowed ",I10, " °C ")</f>
        <v xml:space="preserve">Tj max Allowed 225 °C </v>
      </c>
      <c r="F21" s="26"/>
      <c r="G21" s="10"/>
      <c r="L21" s="13"/>
      <c r="M21" s="14"/>
      <c r="N21" s="14"/>
      <c r="O21" s="7"/>
      <c r="P21" s="7"/>
      <c r="Q21" s="7"/>
    </row>
    <row r="22" spans="1:17" ht="18" customHeight="1">
      <c r="A22" s="29" t="s">
        <v>0</v>
      </c>
      <c r="B22" s="40"/>
      <c r="D22" s="29"/>
      <c r="E22" s="36" t="s">
        <v>0</v>
      </c>
      <c r="F22" s="26"/>
      <c r="L22" s="13"/>
      <c r="M22" s="14"/>
      <c r="N22" s="14"/>
      <c r="O22" s="7"/>
      <c r="P22" s="7"/>
      <c r="Q22" s="7"/>
    </row>
    <row r="23" spans="1:17" ht="18" customHeight="1" thickBot="1">
      <c r="A23" s="41" t="s">
        <v>22</v>
      </c>
      <c r="B23" s="42"/>
      <c r="C23" s="42"/>
      <c r="D23" s="42"/>
      <c r="E23" s="25"/>
      <c r="F23" s="26"/>
      <c r="L23" s="13"/>
      <c r="M23" s="14"/>
      <c r="N23" s="14"/>
      <c r="O23" s="7"/>
      <c r="P23" s="7"/>
      <c r="Q23" s="7"/>
    </row>
    <row r="24" spans="1:17" ht="18" customHeight="1">
      <c r="A24" s="43" t="s">
        <v>23</v>
      </c>
      <c r="B24" s="44" t="str">
        <f>CONCATENATE(ROUND(B20,0), " Years")</f>
        <v>1662 Years</v>
      </c>
      <c r="C24" s="45" t="s">
        <v>24</v>
      </c>
      <c r="D24" s="46" t="str">
        <f>CONCATENATE(" ",ROUND(I3, 1), " °C ")</f>
        <v xml:space="preserve"> 85 °C </v>
      </c>
      <c r="F24" s="8"/>
      <c r="G24" s="8"/>
      <c r="H24" s="8"/>
      <c r="I24" s="8"/>
      <c r="J24" s="8"/>
      <c r="K24" s="8"/>
      <c r="L24" s="8"/>
      <c r="M24" s="7"/>
      <c r="N24" s="7"/>
      <c r="O24" s="7"/>
      <c r="P24" s="7"/>
      <c r="Q24" s="7"/>
    </row>
    <row r="25" spans="1:17" ht="18" customHeight="1" thickBot="1">
      <c r="A25" s="47" t="s">
        <v>34</v>
      </c>
      <c r="B25" s="48" t="str">
        <f>CONCATENATE(B13," Years")</f>
        <v>10 Years</v>
      </c>
      <c r="C25" s="49" t="s">
        <v>25</v>
      </c>
      <c r="D25" s="50">
        <f xml:space="preserve"> LOGNORMDIST(B13*365*24,LN(B20*365*24),0.8)*2*1000000000/8760/B13</f>
        <v>1.8725515409037029E-6</v>
      </c>
      <c r="F25" s="8"/>
      <c r="G25" s="8"/>
      <c r="H25" s="8"/>
      <c r="I25" s="8"/>
      <c r="J25" s="8"/>
      <c r="K25" s="8"/>
      <c r="L25" s="8"/>
      <c r="M25" s="7"/>
      <c r="N25" s="7"/>
      <c r="O25" s="7"/>
      <c r="P25" s="7"/>
      <c r="Q25" s="7"/>
    </row>
    <row r="26" spans="1:17" ht="18" customHeight="1">
      <c r="A26" s="3" t="s">
        <v>26</v>
      </c>
      <c r="B26" s="4"/>
      <c r="C26" s="5"/>
      <c r="D26" s="6"/>
      <c r="F26" s="8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</row>
    <row r="27" spans="1:17" ht="18" customHeight="1">
      <c r="A27" s="3" t="s">
        <v>27</v>
      </c>
      <c r="B27" s="4"/>
      <c r="C27" s="5"/>
      <c r="D27" s="6"/>
      <c r="F27" s="8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</row>
    <row r="28" spans="1:17" ht="18" customHeight="1">
      <c r="A28" s="2" t="s">
        <v>35</v>
      </c>
      <c r="B28" s="4"/>
      <c r="C28" s="5"/>
      <c r="D28" s="6"/>
      <c r="F28" s="8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</row>
    <row r="29" spans="1:17" ht="18" customHeight="1">
      <c r="F29" s="8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</row>
    <row r="30" spans="1:17" ht="18" customHeight="1">
      <c r="A30" s="51" t="str">
        <f>IF(G20&gt;K3, CONCATENATE("Case Temperature was modified to ",ROUND(I3, 1)," °C based on maximum die junction temperature allowed."),"")</f>
        <v/>
      </c>
      <c r="B30" s="52"/>
      <c r="C30" s="40"/>
      <c r="D30" s="40"/>
      <c r="F30" s="8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</row>
    <row r="31" spans="1:17" ht="18" customHeight="1">
      <c r="A31" s="53" t="str">
        <f>IF(G20&gt;K3, "Better Heatsink, Cooling Systems or Operating conditions are Necessary to Reduce the Case Temperature","")</f>
        <v/>
      </c>
      <c r="B31" s="36"/>
      <c r="C31" s="36"/>
      <c r="D31" s="36"/>
      <c r="E31" s="25"/>
      <c r="F31" s="25" t="s">
        <v>0</v>
      </c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</row>
    <row r="32" spans="1:17">
      <c r="A32" s="53"/>
      <c r="B32" s="54"/>
      <c r="C32" s="54"/>
      <c r="D32" s="54"/>
      <c r="E32" s="25"/>
      <c r="F32" s="25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</row>
    <row r="33" spans="1:6">
      <c r="E33" s="25"/>
      <c r="F33" s="26"/>
    </row>
    <row r="34" spans="1:6">
      <c r="E34" s="25"/>
      <c r="F34" s="26"/>
    </row>
    <row r="35" spans="1:6">
      <c r="E35" s="25"/>
      <c r="F35" s="26"/>
    </row>
    <row r="36" spans="1:6">
      <c r="E36" s="25"/>
      <c r="F36" s="26"/>
    </row>
    <row r="37" spans="1:6">
      <c r="E37" s="25"/>
      <c r="F37" s="26"/>
    </row>
    <row r="38" spans="1:6">
      <c r="E38" s="25"/>
      <c r="F38" s="26"/>
    </row>
    <row r="39" spans="1:6">
      <c r="E39" s="25"/>
      <c r="F39" s="26"/>
    </row>
    <row r="40" spans="1:6">
      <c r="E40" s="25"/>
      <c r="F40" s="26"/>
    </row>
    <row r="41" spans="1:6">
      <c r="E41" s="25"/>
      <c r="F41" s="26"/>
    </row>
    <row r="42" spans="1:6">
      <c r="A42" s="53"/>
      <c r="B42" s="36"/>
      <c r="C42" s="36"/>
      <c r="D42" s="36"/>
      <c r="E42" s="25"/>
      <c r="F42" s="26"/>
    </row>
    <row r="43" spans="1:6">
      <c r="D43" s="36"/>
      <c r="E43" s="25"/>
      <c r="F43" s="26"/>
    </row>
    <row r="44" spans="1:6">
      <c r="D44" s="40"/>
    </row>
    <row r="45" spans="1:6">
      <c r="D45" s="52"/>
    </row>
    <row r="46" spans="1:6">
      <c r="D46" s="52"/>
    </row>
    <row r="48" spans="1:6">
      <c r="D48" s="52"/>
    </row>
    <row r="49" spans="4:4">
      <c r="D49" s="52"/>
    </row>
    <row r="51" spans="4:4">
      <c r="D51" s="52"/>
    </row>
    <row r="52" spans="4:4">
      <c r="D52" s="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Program</vt:lpstr>
      <vt:lpstr>CW_85W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NEC MTTF Calculations 12/10/98</dc:title>
  <dc:creator>Wayne Burger</dc:creator>
  <cp:lastModifiedBy>Administrator</cp:lastModifiedBy>
  <cp:lastPrinted>2009-09-04T22:26:37Z</cp:lastPrinted>
  <dcterms:created xsi:type="dcterms:W3CDTF">2002-11-13T17:41:12Z</dcterms:created>
  <dcterms:modified xsi:type="dcterms:W3CDTF">2017-07-22T02:05:28Z</dcterms:modified>
</cp:coreProperties>
</file>