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75" yWindow="75" windowWidth="20385" windowHeight="10200" tabRatio="643"/>
  </bookViews>
  <sheets>
    <sheet name="The Program" sheetId="2" r:id="rId1"/>
    <sheet name="CW_100W" sheetId="3" r:id="rId2"/>
    <sheet name="CW_21.9W" sheetId="12" r:id="rId3"/>
  </sheets>
  <calcPr calcId="125725"/>
</workbook>
</file>

<file path=xl/calcChain.xml><?xml version="1.0" encoding="utf-8"?>
<calcChain xmlns="http://schemas.openxmlformats.org/spreadsheetml/2006/main">
  <c r="G18" i="3"/>
  <c r="G18" i="12"/>
  <c r="G4" i="3" l="1"/>
  <c r="B10" s="1"/>
  <c r="G4" i="12"/>
  <c r="B10" s="1"/>
  <c r="C21" i="3"/>
  <c r="A31" i="12"/>
  <c r="A30"/>
  <c r="B8"/>
  <c r="I3" s="1"/>
  <c r="B16"/>
  <c r="G16"/>
  <c r="G8" s="1"/>
  <c r="J9" s="1"/>
  <c r="H16"/>
  <c r="G9" s="1"/>
  <c r="K9" s="1"/>
  <c r="B9"/>
  <c r="I4"/>
  <c r="B11"/>
  <c r="I6" s="1"/>
  <c r="B12"/>
  <c r="C12" s="1"/>
  <c r="B25"/>
  <c r="D21"/>
  <c r="C21"/>
  <c r="G19"/>
  <c r="D19"/>
  <c r="D13"/>
  <c r="C13"/>
  <c r="D9"/>
  <c r="C9"/>
  <c r="I8"/>
  <c r="D8"/>
  <c r="A1"/>
  <c r="A1" i="3"/>
  <c r="B11"/>
  <c r="D11" s="1"/>
  <c r="B9"/>
  <c r="I4"/>
  <c r="B12"/>
  <c r="I7" s="1"/>
  <c r="B16"/>
  <c r="G16"/>
  <c r="G8" s="1"/>
  <c r="J9" s="1"/>
  <c r="H16"/>
  <c r="G9" s="1"/>
  <c r="K9" s="1"/>
  <c r="B8"/>
  <c r="D8" s="1"/>
  <c r="G19"/>
  <c r="A31"/>
  <c r="A30"/>
  <c r="B25"/>
  <c r="D21"/>
  <c r="D19"/>
  <c r="D13"/>
  <c r="C13"/>
  <c r="D12"/>
  <c r="D9"/>
  <c r="C9"/>
  <c r="I8"/>
  <c r="C8"/>
  <c r="A19" i="12" l="1"/>
  <c r="D24"/>
  <c r="C8"/>
  <c r="D12"/>
  <c r="I3" i="3"/>
  <c r="K16"/>
  <c r="C11" i="12"/>
  <c r="K16"/>
  <c r="C11" i="3"/>
  <c r="D11" i="12"/>
  <c r="I9"/>
  <c r="I7"/>
  <c r="I9" i="3"/>
  <c r="C12"/>
  <c r="I6"/>
  <c r="J16"/>
  <c r="C10"/>
  <c r="I5"/>
  <c r="D10"/>
  <c r="J16" i="12"/>
  <c r="C10"/>
  <c r="D10"/>
  <c r="I5"/>
  <c r="D24" i="3" l="1"/>
  <c r="A19"/>
  <c r="B20" i="12"/>
  <c r="C20" i="3"/>
  <c r="B20"/>
  <c r="D20"/>
  <c r="C20" i="12"/>
  <c r="D20"/>
  <c r="D25" i="3" l="1"/>
  <c r="B24"/>
  <c r="D25" i="12"/>
  <c r="B24"/>
</calcChain>
</file>

<file path=xl/sharedStrings.xml><?xml version="1.0" encoding="utf-8"?>
<sst xmlns="http://schemas.openxmlformats.org/spreadsheetml/2006/main" count="116" uniqueCount="41">
  <si>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</si>
  <si>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</si>
  <si>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</si>
  <si>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</si>
  <si>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</si>
  <si>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</si>
  <si>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</si>
  <si>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</si>
  <si>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</si>
  <si>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</si>
  <si>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</si>
  <si>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</si>
  <si>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</si>
  <si>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</si>
  <si>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</si>
  <si>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</si>
  <si>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</si>
  <si>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</si>
  <si>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</si>
  <si>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</si>
  <si>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</si>
  <si>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</si>
  <si>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</si>
  <si>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</si>
  <si>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</si>
  <si>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</si>
  <si>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</si>
  <si>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</si>
  <si>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</si>
  <si>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</si>
  <si>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</si>
  <si>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</si>
  <si>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</si>
  <si>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</si>
  <si>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AFT26P100-4WS_21.9W</t>
  </si>
  <si>
    <t>AFT26P100-4WS_100W</t>
  </si>
  <si>
    <t>Device Variables, Fjc1</t>
  </si>
  <si>
    <t xml:space="preserve">Fjc1 (°C/W)  </t>
  </si>
  <si>
    <t>Fjc1 (°C/W)L</t>
  </si>
  <si>
    <t>Fjc1 (°C/W)U</t>
  </si>
  <si>
    <t>Fjc1 (°C/W)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</si>
</sst>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13">
    <font>
      <sz val="10"/>
      <name val="Geneva"/>
    </font>
    <font>
      <sz val="8"/>
      <name val="Geneva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58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167" fontId="5" fillId="2" borderId="7" xfId="0" quotePrefix="1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9</xdr:col>
      <xdr:colOff>95250</xdr:colOff>
      <xdr:row>45</xdr:row>
      <xdr:rowOff>123825</xdr:rowOff>
    </xdr:to>
    <xdr:pic>
      <xdr:nvPicPr>
        <xdr:cNvPr id="10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17" sqref="E17"/>
    </sheetView>
  </sheetViews>
  <sheetFormatPr defaultRowHeight="15"/>
  <cols>
    <col min="1" max="1" width="38.5703125" style="4" customWidth="1"/>
    <col min="2" max="2" width="26.140625" style="4" customWidth="1"/>
    <col min="3" max="3" width="23.140625" style="4" customWidth="1"/>
    <col min="4" max="4" width="22.5703125" style="4" customWidth="1"/>
    <col min="5" max="5" width="3.85546875" style="5" customWidth="1"/>
    <col min="6" max="6" width="14.85546875" style="22" customWidth="1"/>
    <col min="7" max="7" width="23.7109375" style="22" customWidth="1"/>
    <col min="8" max="8" width="17.7109375" style="22" customWidth="1"/>
    <col min="9" max="9" width="13.5703125" style="22" customWidth="1"/>
    <col min="10" max="10" width="13.85546875" style="22" customWidth="1"/>
    <col min="11" max="11" width="26" style="22" customWidth="1"/>
    <col min="12" max="12" width="9.140625" style="10" customWidth="1"/>
    <col min="13" max="17" width="9.140625" style="11" customWidth="1"/>
    <col min="18" max="16384" width="9.140625" style="4"/>
  </cols>
  <sheetData>
    <row r="1" spans="1:11" ht="18" customHeight="1">
      <c r="A1" s="1" t="str">
        <f>CONCATENATE("Electromigration MTTF Calculations for Device ",G1,", Rev0")</f>
        <v>Electromigration MTTF Calculations for Device AFT26P100-4WS_100W, Rev0</v>
      </c>
      <c r="F1" s="6" t="s">
        <v>31</v>
      </c>
      <c r="G1" s="7" t="s">
        <v>35</v>
      </c>
      <c r="H1" s="8" t="s">
        <v>1</v>
      </c>
      <c r="I1" s="9"/>
      <c r="J1" s="9"/>
      <c r="K1" s="9"/>
    </row>
    <row r="2" spans="1:11" ht="18" customHeight="1">
      <c r="A2" s="5" t="s">
        <v>2</v>
      </c>
      <c r="F2" s="6" t="s">
        <v>32</v>
      </c>
      <c r="G2" s="7">
        <v>3150</v>
      </c>
      <c r="H2" s="6" t="s">
        <v>3</v>
      </c>
      <c r="I2" s="6" t="s">
        <v>4</v>
      </c>
      <c r="J2" s="6" t="s">
        <v>5</v>
      </c>
      <c r="K2" s="6" t="s">
        <v>6</v>
      </c>
    </row>
    <row r="3" spans="1:11" ht="18" customHeight="1">
      <c r="A3" s="5" t="s">
        <v>36</v>
      </c>
      <c r="F3" s="6" t="s">
        <v>9</v>
      </c>
      <c r="G3" s="7">
        <v>28</v>
      </c>
      <c r="H3" s="12" t="s">
        <v>7</v>
      </c>
      <c r="I3" s="13">
        <f>IF(G20&gt;K3, B8-(G20-K3  ),  B8)</f>
        <v>95</v>
      </c>
      <c r="J3" s="6">
        <v>0</v>
      </c>
      <c r="K3" s="6">
        <v>225</v>
      </c>
    </row>
    <row r="4" spans="1:11" ht="18" customHeight="1">
      <c r="A4" s="4" t="s">
        <v>8</v>
      </c>
      <c r="F4" s="6" t="s">
        <v>10</v>
      </c>
      <c r="G4" s="14">
        <f>G18</f>
        <v>7.0581592320722759</v>
      </c>
      <c r="H4" s="12" t="s">
        <v>9</v>
      </c>
      <c r="I4" s="15">
        <f>IF(B9&lt;J4,J4,IF(B9&gt;K4,K4,B9))</f>
        <v>28</v>
      </c>
      <c r="J4" s="6">
        <v>9</v>
      </c>
      <c r="K4" s="6">
        <v>60</v>
      </c>
    </row>
    <row r="5" spans="1:11" ht="18" customHeight="1">
      <c r="A5" s="4" t="s">
        <v>0</v>
      </c>
      <c r="F5" s="6" t="s">
        <v>12</v>
      </c>
      <c r="G5" s="14">
        <v>7.08</v>
      </c>
      <c r="H5" s="16" t="s">
        <v>10</v>
      </c>
      <c r="I5" s="15">
        <f>IF(B10&lt;J5,J5,IF(B10&gt;K5,K5,B10))</f>
        <v>7.0581592320722759</v>
      </c>
      <c r="J5" s="17">
        <v>1E-3</v>
      </c>
      <c r="K5" s="6">
        <v>35</v>
      </c>
    </row>
    <row r="6" spans="1:11" ht="18" customHeight="1">
      <c r="A6" s="5" t="s">
        <v>11</v>
      </c>
      <c r="F6" s="6" t="s">
        <v>14</v>
      </c>
      <c r="G6" s="7">
        <v>100</v>
      </c>
      <c r="H6" s="12" t="s">
        <v>12</v>
      </c>
      <c r="I6" s="6">
        <f>IF(B11&lt;J6,J6,IF(B11&gt;K6,K6,B11))</f>
        <v>7.08</v>
      </c>
      <c r="J6" s="9">
        <v>0</v>
      </c>
      <c r="K6" s="6">
        <v>15</v>
      </c>
    </row>
    <row r="7" spans="1:11" ht="18" customHeight="1">
      <c r="A7" s="18" t="s">
        <v>3</v>
      </c>
      <c r="B7" s="18" t="s">
        <v>4</v>
      </c>
      <c r="C7" s="18" t="s">
        <v>5</v>
      </c>
      <c r="D7" s="18" t="s">
        <v>13</v>
      </c>
      <c r="F7" s="12" t="s">
        <v>37</v>
      </c>
      <c r="G7" s="7">
        <v>0.42</v>
      </c>
      <c r="H7" s="12" t="s">
        <v>14</v>
      </c>
      <c r="I7" s="6">
        <f>IF(B12&lt;J7,J7,IF(B12&gt;K7,K7,B12))</f>
        <v>100</v>
      </c>
      <c r="J7" s="9">
        <v>0</v>
      </c>
      <c r="K7" s="6">
        <v>1500</v>
      </c>
    </row>
    <row r="8" spans="1:11" ht="18" customHeight="1">
      <c r="A8" s="18" t="s">
        <v>7</v>
      </c>
      <c r="B8" s="19">
        <f>G11</f>
        <v>95</v>
      </c>
      <c r="C8" s="20" t="str">
        <f>IF(B8&lt;J3, CONCATENATE("Tcase under limit! ",J3,"°C "),CONCATENATE(J3,"°C "))</f>
        <v xml:space="preserve">0°C </v>
      </c>
      <c r="D8" s="21" t="str">
        <f>IF(B8&gt;150, CONCATENATE("Warning Tcase OVER 150°C! "),CONCATENATE("150°C "))</f>
        <v xml:space="preserve">150°C </v>
      </c>
      <c r="F8" s="12" t="s">
        <v>38</v>
      </c>
      <c r="G8" s="7">
        <f>G16</f>
        <v>0.378</v>
      </c>
      <c r="H8" s="12" t="s">
        <v>15</v>
      </c>
      <c r="I8" s="6">
        <f>IF(B13&lt;J8,J8,IF(B13&gt;K8,K8,B13))</f>
        <v>10</v>
      </c>
      <c r="J8" s="9">
        <v>7</v>
      </c>
      <c r="K8" s="6">
        <v>30</v>
      </c>
    </row>
    <row r="9" spans="1:11" ht="18" customHeight="1">
      <c r="A9" s="18" t="s">
        <v>9</v>
      </c>
      <c r="B9" s="19">
        <f>G3</f>
        <v>28</v>
      </c>
      <c r="C9" s="20" t="str">
        <f>IF(B9&lt;J4, CONCATENATE("Vdd lnder limit! ",J4,"V "),CONCATENATE(J4,"V"))</f>
        <v>9V</v>
      </c>
      <c r="D9" s="20" t="str">
        <f>IF(B9&gt;K4, CONCATENATE("Vdd over limit! ",K4,"V "),CONCATENATE(K4,"V"))</f>
        <v>60V</v>
      </c>
      <c r="F9" s="12" t="s">
        <v>39</v>
      </c>
      <c r="G9" s="7">
        <f>H16</f>
        <v>0.46200000000000002</v>
      </c>
      <c r="H9" s="12" t="s">
        <v>40</v>
      </c>
      <c r="I9" s="6">
        <f>IF(B16&lt;J9,J9,IF(B16&gt;K9,K9,B16))</f>
        <v>0.42</v>
      </c>
      <c r="J9" s="6">
        <f>G8</f>
        <v>0.378</v>
      </c>
      <c r="K9" s="6">
        <f>G9</f>
        <v>0.46200000000000002</v>
      </c>
    </row>
    <row r="10" spans="1:11" ht="18" customHeight="1">
      <c r="A10" s="18" t="s">
        <v>10</v>
      </c>
      <c r="B10" s="19">
        <f>G4</f>
        <v>7.0581592320722759</v>
      </c>
      <c r="C10" s="20" t="str">
        <f>IF(B10&lt;J5, CONCATENATE("Id3 under limit! ",J5,"A "),CONCATENATE(J5,"A"))</f>
        <v>0.001A</v>
      </c>
      <c r="D10" s="20" t="str">
        <f>IF(B10&gt;K5, CONCATENATE("Vdd over limit! ",K5,"A "),CONCATENATE(K5,"A"))</f>
        <v>35A</v>
      </c>
      <c r="F10" s="6" t="s">
        <v>33</v>
      </c>
      <c r="G10" s="7">
        <v>150</v>
      </c>
    </row>
    <row r="11" spans="1:11" ht="18" customHeight="1">
      <c r="A11" s="18" t="s">
        <v>12</v>
      </c>
      <c r="B11" s="19">
        <f>G5</f>
        <v>7.08</v>
      </c>
      <c r="C11" s="20" t="str">
        <f>IF(B11&lt;J6, CONCATENATE("Vdd under limit! ",J6,"W "),CONCATENATE(J6,"W"))</f>
        <v>0W</v>
      </c>
      <c r="D11" s="20" t="str">
        <f>IF(B11&gt;K6, CONCATENATE("Vdd over limit! ",K6,"W "),CONCATENATE(K6,"W"))</f>
        <v>15W</v>
      </c>
      <c r="F11" s="6" t="s">
        <v>7</v>
      </c>
      <c r="G11" s="14">
        <v>95</v>
      </c>
    </row>
    <row r="12" spans="1:11" ht="18" customHeight="1">
      <c r="A12" s="18" t="s">
        <v>14</v>
      </c>
      <c r="B12" s="19">
        <f>G6</f>
        <v>100</v>
      </c>
      <c r="C12" s="20" t="str">
        <f>IF(B12&lt;J7, CONCATENATE("Vdd under limit! ",J7,"W "),CONCATENATE(J7,"W"))</f>
        <v>0W</v>
      </c>
      <c r="D12" s="20" t="str">
        <f>IF(B12&gt;K7, CONCATENATE("Vdd over limit! ",K7,"W"),CONCATENATE(K7,"W"))</f>
        <v>1500W</v>
      </c>
      <c r="E12" s="23"/>
      <c r="F12" s="12"/>
      <c r="G12" s="14"/>
    </row>
    <row r="13" spans="1:11" ht="18" customHeight="1">
      <c r="A13" s="18" t="s">
        <v>15</v>
      </c>
      <c r="B13" s="18">
        <v>10</v>
      </c>
      <c r="C13" s="20" t="str">
        <f>IF(B13&lt;J8, CONCATENATE("Vdd under limit! ",J8,"yrs "),CONCATENATE(J8,"yrs"))</f>
        <v>7yrs</v>
      </c>
      <c r="D13" s="20" t="str">
        <f>IF(B13&gt;K8, CONCATENATE("Vdd over limit! ",K8,"yrs"),CONCATENATE(K8,"yrs"))</f>
        <v>30yrs</v>
      </c>
      <c r="E13" s="23"/>
      <c r="F13" s="24"/>
    </row>
    <row r="14" spans="1:11" ht="18" customHeight="1">
      <c r="A14" s="25"/>
      <c r="B14" s="26"/>
      <c r="C14" s="27"/>
      <c r="D14" s="27"/>
      <c r="E14" s="23"/>
      <c r="F14" s="24"/>
    </row>
    <row r="15" spans="1:11" ht="18" customHeight="1">
      <c r="A15" s="5" t="s">
        <v>16</v>
      </c>
      <c r="B15" s="26"/>
      <c r="C15" s="28"/>
      <c r="D15" s="28"/>
      <c r="E15" s="23"/>
      <c r="F15" s="24"/>
    </row>
    <row r="16" spans="1:11" ht="18" customHeight="1">
      <c r="A16" s="29" t="s">
        <v>40</v>
      </c>
      <c r="B16" s="30">
        <f>G7</f>
        <v>0.42</v>
      </c>
      <c r="E16" s="23"/>
      <c r="F16" s="24"/>
      <c r="G16" s="7">
        <f>0.9*G7</f>
        <v>0.378</v>
      </c>
      <c r="H16" s="7">
        <f>1.1*G7</f>
        <v>0.46200000000000002</v>
      </c>
      <c r="I16" s="7"/>
      <c r="J16" s="6" t="str">
        <f>IF(B16&lt;J9, CONCATENATE("Under limit! ",J9,"°C/W "),CONCATENATE(J9," °C/W"))</f>
        <v>0.378 °C/W</v>
      </c>
      <c r="K16" s="6" t="str">
        <f>IF(B16&gt;K9, CONCATENATE("Over limit! ",K9,"°C/W"),CONCATENATE(K9,"°C/W"))</f>
        <v>0.462°C/W</v>
      </c>
    </row>
    <row r="17" spans="1:7" ht="18" customHeight="1">
      <c r="A17" s="25"/>
      <c r="B17" s="31"/>
      <c r="C17" s="32"/>
      <c r="D17" s="32"/>
      <c r="E17" s="23"/>
      <c r="F17" s="24"/>
    </row>
    <row r="18" spans="1:7" ht="18" customHeight="1">
      <c r="A18" s="33" t="s">
        <v>17</v>
      </c>
      <c r="B18" s="34"/>
      <c r="C18" s="34"/>
      <c r="D18" s="27"/>
      <c r="E18" s="23"/>
      <c r="F18" s="24"/>
      <c r="G18" s="14">
        <f>G6/G3/0.506</f>
        <v>7.0581592320722759</v>
      </c>
    </row>
    <row r="19" spans="1:7" ht="18" customHeight="1">
      <c r="A19" s="20" t="str">
        <f>CONCATENATE("When Tcase Temp = ", ROUND(I3, 1), "°C")</f>
        <v>When Tcase Temp = 95°C</v>
      </c>
      <c r="B19" s="20" t="s">
        <v>18</v>
      </c>
      <c r="C19" s="20" t="s">
        <v>19</v>
      </c>
      <c r="D19" s="20" t="str">
        <f>IF(G20&gt;K3,CONCATENATE("If Tcase Temp = ", B8, "°C"),"Stage Over Temp?")</f>
        <v>Stage Over Temp?</v>
      </c>
      <c r="G19" s="14">
        <f>10*LOG(G6/G5)</f>
        <v>11.499667423102309</v>
      </c>
    </row>
    <row r="20" spans="1:7" ht="18" customHeight="1">
      <c r="A20" s="27" t="s">
        <v>20</v>
      </c>
      <c r="B20" s="35">
        <f>152000/(100000000*I5/G2)^2*EXP(0.66/0.0000863/(273+I3+I9*(I4*I5+I6-I7)))</f>
        <v>349.22255611756191</v>
      </c>
      <c r="C20" s="36">
        <f>I3+I9*(I4*I5+I6-I7)</f>
        <v>138.97755256916997</v>
      </c>
      <c r="D20" s="21" t="str">
        <f>IF(B8+I9*(I4*I5+I6-I7)&gt;K3, CONCATENATE(ROUND(B8+I9*(I4*I5+I6-I7)-K3,0),"°C ","Over Tj max."), "None")</f>
        <v>None</v>
      </c>
      <c r="G20" s="37"/>
    </row>
    <row r="21" spans="1:7" ht="18" customHeight="1">
      <c r="A21" s="20" t="s">
        <v>21</v>
      </c>
      <c r="B21" s="35" t="s">
        <v>22</v>
      </c>
      <c r="C21" s="35" t="str">
        <f>CONCATENATE("Tj max Allowed ",K3, " °C ")</f>
        <v xml:space="preserve">Tj max Allowed 225 °C </v>
      </c>
      <c r="D21" s="35" t="str">
        <f>CONCATENATE("Tj max Allowed ",K3, " °C ")</f>
        <v xml:space="preserve">Tj max Allowed 225 °C </v>
      </c>
      <c r="F21" s="24"/>
      <c r="G21" s="7"/>
    </row>
    <row r="22" spans="1:7" ht="18" customHeight="1">
      <c r="A22" s="27" t="s">
        <v>0</v>
      </c>
      <c r="B22" s="38"/>
      <c r="D22" s="27"/>
      <c r="E22" s="34" t="s">
        <v>0</v>
      </c>
      <c r="F22" s="24"/>
    </row>
    <row r="23" spans="1:7" ht="18" customHeight="1" thickBot="1">
      <c r="A23" s="39" t="s">
        <v>23</v>
      </c>
      <c r="B23" s="40"/>
      <c r="C23" s="40"/>
      <c r="D23" s="40"/>
      <c r="E23" s="23"/>
      <c r="F23" s="24"/>
    </row>
    <row r="24" spans="1:7" ht="18" customHeight="1">
      <c r="A24" s="41" t="s">
        <v>24</v>
      </c>
      <c r="B24" s="42" t="str">
        <f>CONCATENATE(ROUND(B20,0), " Years")</f>
        <v>349 Years</v>
      </c>
      <c r="C24" s="43" t="s">
        <v>25</v>
      </c>
      <c r="D24" s="44" t="str">
        <f>CONCATENATE(" ",ROUND(I3, 1), " °C ")</f>
        <v xml:space="preserve"> 95 °C </v>
      </c>
    </row>
    <row r="25" spans="1:7" ht="18" customHeight="1" thickBot="1">
      <c r="A25" s="45" t="s">
        <v>26</v>
      </c>
      <c r="B25" s="46" t="str">
        <f>CONCATENATE(B13," Years")</f>
        <v>10 Years</v>
      </c>
      <c r="C25" s="47" t="s">
        <v>27</v>
      </c>
      <c r="D25" s="48">
        <f xml:space="preserve"> LOGNORMDIST(B13*365*24,LN(B20*365*24),0.8)*2*1000000000/8760/B13</f>
        <v>0.10202424118115563</v>
      </c>
    </row>
    <row r="26" spans="1:7" ht="18" customHeight="1">
      <c r="A26" s="3" t="s">
        <v>28</v>
      </c>
      <c r="B26" s="49"/>
      <c r="C26" s="50"/>
      <c r="D26" s="51"/>
    </row>
    <row r="27" spans="1:7" ht="18" customHeight="1">
      <c r="A27" s="3" t="s">
        <v>29</v>
      </c>
      <c r="B27" s="49"/>
      <c r="C27" s="50"/>
      <c r="D27" s="51"/>
    </row>
    <row r="28" spans="1:7" ht="18" customHeight="1">
      <c r="A28" s="2" t="s">
        <v>30</v>
      </c>
      <c r="B28" s="49"/>
      <c r="C28" s="50"/>
      <c r="D28" s="51"/>
    </row>
    <row r="29" spans="1:7" ht="18" customHeight="1"/>
    <row r="30" spans="1:7" ht="18" customHeight="1">
      <c r="A30" s="52" t="str">
        <f>IF(G20&gt;K3, CONCATENATE("Case Temperature was modified to ",ROUND(I3, 1)," °C based on maximum die junction temperature allowed."),"")</f>
        <v/>
      </c>
      <c r="B30" s="53"/>
      <c r="C30" s="38"/>
      <c r="D30" s="38"/>
    </row>
    <row r="31" spans="1:7" ht="18" customHeight="1">
      <c r="A31" s="54" t="str">
        <f>IF(G20&gt;K3, "Better Heatsink, Cooling Systems or Operating conditions are Necessary to Reduce the Case Temperature","")</f>
        <v/>
      </c>
      <c r="B31" s="34"/>
      <c r="C31" s="34"/>
      <c r="D31" s="34"/>
      <c r="E31" s="23"/>
      <c r="F31" s="24" t="s">
        <v>0</v>
      </c>
    </row>
    <row r="32" spans="1:7">
      <c r="A32" s="54"/>
      <c r="B32" s="55"/>
      <c r="C32" s="55"/>
      <c r="D32" s="55"/>
      <c r="E32" s="23"/>
      <c r="F32" s="24"/>
    </row>
    <row r="33" spans="1:6">
      <c r="E33" s="23"/>
      <c r="F33" s="24"/>
    </row>
    <row r="34" spans="1:6">
      <c r="E34" s="23"/>
      <c r="F34" s="24"/>
    </row>
    <row r="35" spans="1:6">
      <c r="E35" s="23"/>
      <c r="F35" s="24"/>
    </row>
    <row r="36" spans="1:6">
      <c r="E36" s="23"/>
      <c r="F36" s="24"/>
    </row>
    <row r="37" spans="1:6">
      <c r="E37" s="23"/>
      <c r="F37" s="24"/>
    </row>
    <row r="38" spans="1:6">
      <c r="E38" s="23"/>
      <c r="F38" s="24"/>
    </row>
    <row r="39" spans="1:6">
      <c r="E39" s="23"/>
      <c r="F39" s="24"/>
    </row>
    <row r="40" spans="1:6">
      <c r="E40" s="23"/>
      <c r="F40" s="24"/>
    </row>
    <row r="41" spans="1:6">
      <c r="E41" s="23"/>
      <c r="F41" s="24"/>
    </row>
    <row r="42" spans="1:6">
      <c r="A42" s="54"/>
      <c r="B42" s="34"/>
      <c r="C42" s="34"/>
      <c r="D42" s="34"/>
      <c r="E42" s="23"/>
      <c r="F42" s="24"/>
    </row>
    <row r="43" spans="1:6">
      <c r="D43" s="34"/>
      <c r="E43" s="23"/>
      <c r="F43" s="24"/>
    </row>
    <row r="44" spans="1:6">
      <c r="D44" s="38"/>
    </row>
    <row r="45" spans="1:6">
      <c r="D45" s="53"/>
    </row>
    <row r="46" spans="1:6">
      <c r="D46" s="53"/>
    </row>
    <row r="48" spans="1:6">
      <c r="D48" s="53"/>
    </row>
    <row r="49" spans="4:4">
      <c r="D49" s="53"/>
    </row>
    <row r="51" spans="4:4">
      <c r="D51" s="53"/>
    </row>
    <row r="52" spans="4:4">
      <c r="D52" s="53"/>
    </row>
  </sheetData>
  <phoneticPr fontId="0" type="noConversion"/>
  <pageMargins left="0" right="0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17" sqref="E17"/>
    </sheetView>
  </sheetViews>
  <sheetFormatPr defaultRowHeight="15"/>
  <cols>
    <col min="1" max="1" width="38.5703125" style="4" customWidth="1"/>
    <col min="2" max="2" width="26.140625" style="4" customWidth="1"/>
    <col min="3" max="3" width="23.140625" style="4" customWidth="1"/>
    <col min="4" max="4" width="22.5703125" style="4" customWidth="1"/>
    <col min="5" max="5" width="3.85546875" style="5" customWidth="1"/>
    <col min="6" max="6" width="14.85546875" style="22" customWidth="1"/>
    <col min="7" max="7" width="23.7109375" style="22" customWidth="1"/>
    <col min="8" max="8" width="17.7109375" style="22" customWidth="1"/>
    <col min="9" max="9" width="13.5703125" style="22" customWidth="1"/>
    <col min="10" max="10" width="13.85546875" style="22" customWidth="1"/>
    <col min="11" max="11" width="26" style="22" customWidth="1"/>
    <col min="12" max="12" width="9.140625" style="10" customWidth="1"/>
    <col min="13" max="17" width="9.140625" style="11" customWidth="1"/>
    <col min="18" max="16384" width="9.140625" style="4"/>
  </cols>
  <sheetData>
    <row r="1" spans="1:11" ht="18" customHeight="1">
      <c r="A1" s="1" t="str">
        <f>CONCATENATE("Electromigration MTTF Calculations for Device ",G1,", Rev0")</f>
        <v>Electromigration MTTF Calculations for Device AFT26P100-4WS_21.9W, Rev0</v>
      </c>
      <c r="F1" s="6" t="s">
        <v>31</v>
      </c>
      <c r="G1" s="7" t="s">
        <v>34</v>
      </c>
      <c r="H1" s="8" t="s">
        <v>1</v>
      </c>
      <c r="I1" s="9"/>
      <c r="J1" s="9"/>
      <c r="K1" s="9"/>
    </row>
    <row r="2" spans="1:11" ht="18" customHeight="1">
      <c r="A2" s="5" t="s">
        <v>2</v>
      </c>
      <c r="F2" s="6" t="s">
        <v>32</v>
      </c>
      <c r="G2" s="7">
        <v>3150</v>
      </c>
      <c r="H2" s="6" t="s">
        <v>3</v>
      </c>
      <c r="I2" s="6" t="s">
        <v>4</v>
      </c>
      <c r="J2" s="6" t="s">
        <v>5</v>
      </c>
      <c r="K2" s="6" t="s">
        <v>6</v>
      </c>
    </row>
    <row r="3" spans="1:11" ht="18" customHeight="1">
      <c r="A3" s="5" t="s">
        <v>36</v>
      </c>
      <c r="F3" s="6" t="s">
        <v>9</v>
      </c>
      <c r="G3" s="7">
        <v>28</v>
      </c>
      <c r="H3" s="12" t="s">
        <v>7</v>
      </c>
      <c r="I3" s="13">
        <f>IF(G20&gt;K3, B8-(G20-K3  ),  B8)</f>
        <v>77</v>
      </c>
      <c r="J3" s="6">
        <v>0</v>
      </c>
      <c r="K3" s="6">
        <v>225</v>
      </c>
    </row>
    <row r="4" spans="1:11" ht="18" customHeight="1">
      <c r="A4" s="4" t="s">
        <v>8</v>
      </c>
      <c r="F4" s="6" t="s">
        <v>10</v>
      </c>
      <c r="G4" s="14">
        <f>G18</f>
        <v>2.2540139975298477</v>
      </c>
      <c r="H4" s="12" t="s">
        <v>9</v>
      </c>
      <c r="I4" s="15">
        <f>IF(B9&lt;J4,J4,IF(B9&gt;K4,K4,B9))</f>
        <v>28</v>
      </c>
      <c r="J4" s="6">
        <v>9</v>
      </c>
      <c r="K4" s="6">
        <v>60</v>
      </c>
    </row>
    <row r="5" spans="1:11" ht="18" customHeight="1">
      <c r="A5" s="4" t="s">
        <v>0</v>
      </c>
      <c r="F5" s="6" t="s">
        <v>12</v>
      </c>
      <c r="G5" s="56">
        <v>0.93400000000000005</v>
      </c>
      <c r="H5" s="16" t="s">
        <v>10</v>
      </c>
      <c r="I5" s="15">
        <f>IF(B10&lt;J5,J5,IF(B10&gt;K5,K5,B10))</f>
        <v>2.2540139975298477</v>
      </c>
      <c r="J5" s="17">
        <v>1E-3</v>
      </c>
      <c r="K5" s="6">
        <v>35</v>
      </c>
    </row>
    <row r="6" spans="1:11" ht="18" customHeight="1">
      <c r="A6" s="5" t="s">
        <v>11</v>
      </c>
      <c r="F6" s="6" t="s">
        <v>14</v>
      </c>
      <c r="G6" s="7">
        <v>21.9</v>
      </c>
      <c r="H6" s="12" t="s">
        <v>12</v>
      </c>
      <c r="I6" s="6">
        <f>IF(B11&lt;J6,J6,IF(B11&gt;K6,K6,B11))</f>
        <v>0.93400000000000005</v>
      </c>
      <c r="J6" s="9">
        <v>0</v>
      </c>
      <c r="K6" s="6">
        <v>15</v>
      </c>
    </row>
    <row r="7" spans="1:11" ht="18" customHeight="1">
      <c r="A7" s="18" t="s">
        <v>3</v>
      </c>
      <c r="B7" s="18" t="s">
        <v>4</v>
      </c>
      <c r="C7" s="18" t="s">
        <v>5</v>
      </c>
      <c r="D7" s="18" t="s">
        <v>13</v>
      </c>
      <c r="F7" s="12" t="s">
        <v>37</v>
      </c>
      <c r="G7" s="7">
        <v>0.6</v>
      </c>
      <c r="H7" s="12" t="s">
        <v>14</v>
      </c>
      <c r="I7" s="6">
        <f>IF(B12&lt;J7,J7,IF(B12&gt;K7,K7,B12))</f>
        <v>21.9</v>
      </c>
      <c r="J7" s="9">
        <v>0</v>
      </c>
      <c r="K7" s="6">
        <v>1500</v>
      </c>
    </row>
    <row r="8" spans="1:11" ht="18" customHeight="1">
      <c r="A8" s="18" t="s">
        <v>7</v>
      </c>
      <c r="B8" s="19">
        <f>G11</f>
        <v>77</v>
      </c>
      <c r="C8" s="20" t="str">
        <f>IF(B8&lt;J3, CONCATENATE("Tcase under limit! ",J3,"°C "),CONCATENATE(J3,"°C "))</f>
        <v xml:space="preserve">0°C </v>
      </c>
      <c r="D8" s="21" t="str">
        <f>IF(B8&gt;150, CONCATENATE("Warning Tcase OVER 150°C! "),CONCATENATE("150°C "))</f>
        <v xml:space="preserve">150°C </v>
      </c>
      <c r="F8" s="12" t="s">
        <v>38</v>
      </c>
      <c r="G8" s="7">
        <f>G16</f>
        <v>0.54</v>
      </c>
      <c r="H8" s="12" t="s">
        <v>15</v>
      </c>
      <c r="I8" s="6">
        <f>IF(B13&lt;J8,J8,IF(B13&gt;K8,K8,B13))</f>
        <v>10</v>
      </c>
      <c r="J8" s="9">
        <v>7</v>
      </c>
      <c r="K8" s="6">
        <v>30</v>
      </c>
    </row>
    <row r="9" spans="1:11" ht="18" customHeight="1">
      <c r="A9" s="18" t="s">
        <v>9</v>
      </c>
      <c r="B9" s="19">
        <f>G3</f>
        <v>28</v>
      </c>
      <c r="C9" s="20" t="str">
        <f>IF(B9&lt;J4, CONCATENATE("Vdd lnder limit! ",J4,"V "),CONCATENATE(J4,"V"))</f>
        <v>9V</v>
      </c>
      <c r="D9" s="20" t="str">
        <f>IF(B9&gt;K4, CONCATENATE("Vdd over limit! ",K4,"V "),CONCATENATE(K4,"V"))</f>
        <v>60V</v>
      </c>
      <c r="F9" s="12" t="s">
        <v>39</v>
      </c>
      <c r="G9" s="7">
        <f>H16</f>
        <v>0.66</v>
      </c>
      <c r="H9" s="12" t="s">
        <v>40</v>
      </c>
      <c r="I9" s="6">
        <f>IF(B16&lt;J9,J9,IF(B16&gt;K9,K9,B16))</f>
        <v>0.6</v>
      </c>
      <c r="J9" s="6">
        <f>G8</f>
        <v>0.54</v>
      </c>
      <c r="K9" s="6">
        <f>G9</f>
        <v>0.66</v>
      </c>
    </row>
    <row r="10" spans="1:11" ht="18" customHeight="1">
      <c r="A10" s="18" t="s">
        <v>10</v>
      </c>
      <c r="B10" s="19">
        <f>G4</f>
        <v>2.2540139975298477</v>
      </c>
      <c r="C10" s="20" t="str">
        <f>IF(B10&lt;J5, CONCATENATE("Id3 under limit! ",J5,"A "),CONCATENATE(J5,"A"))</f>
        <v>0.001A</v>
      </c>
      <c r="D10" s="20" t="str">
        <f>IF(B10&gt;K5, CONCATENATE("Vdd over limit! ",K5,"A "),CONCATENATE(K5,"A"))</f>
        <v>35A</v>
      </c>
      <c r="F10" s="6" t="s">
        <v>33</v>
      </c>
      <c r="G10" s="7">
        <v>150</v>
      </c>
    </row>
    <row r="11" spans="1:11" ht="18" customHeight="1">
      <c r="A11" s="18" t="s">
        <v>12</v>
      </c>
      <c r="B11" s="19">
        <f>G5</f>
        <v>0.93400000000000005</v>
      </c>
      <c r="C11" s="20" t="str">
        <f>IF(B11&lt;J6, CONCATENATE("Vdd under limit! ",J6,"W "),CONCATENATE(J6,"W"))</f>
        <v>0W</v>
      </c>
      <c r="D11" s="20" t="str">
        <f>IF(B11&gt;K6, CONCATENATE("Vdd over limit! ",K6,"W "),CONCATENATE(K6,"W"))</f>
        <v>15W</v>
      </c>
      <c r="F11" s="6" t="s">
        <v>7</v>
      </c>
      <c r="G11" s="57">
        <v>77</v>
      </c>
    </row>
    <row r="12" spans="1:11" ht="18" customHeight="1">
      <c r="A12" s="18" t="s">
        <v>14</v>
      </c>
      <c r="B12" s="19">
        <f>G6</f>
        <v>21.9</v>
      </c>
      <c r="C12" s="20" t="str">
        <f>IF(B12&lt;J7, CONCATENATE("Vdd under limit! ",J7,"W "),CONCATENATE(J7,"W"))</f>
        <v>0W</v>
      </c>
      <c r="D12" s="20" t="str">
        <f>IF(B12&gt;K7, CONCATENATE("Vdd over limit! ",K7,"W"),CONCATENATE(K7,"W"))</f>
        <v>1500W</v>
      </c>
      <c r="E12" s="23"/>
      <c r="F12" s="12"/>
      <c r="G12" s="14"/>
    </row>
    <row r="13" spans="1:11" ht="18" customHeight="1">
      <c r="A13" s="18" t="s">
        <v>15</v>
      </c>
      <c r="B13" s="18">
        <v>10</v>
      </c>
      <c r="C13" s="20" t="str">
        <f>IF(B13&lt;J8, CONCATENATE("Vdd under limit! ",J8,"yrs "),CONCATENATE(J8,"yrs"))</f>
        <v>7yrs</v>
      </c>
      <c r="D13" s="20" t="str">
        <f>IF(B13&gt;K8, CONCATENATE("Vdd over limit! ",K8,"yrs"),CONCATENATE(K8,"yrs"))</f>
        <v>30yrs</v>
      </c>
      <c r="E13" s="23"/>
      <c r="F13" s="24"/>
    </row>
    <row r="14" spans="1:11" ht="18" customHeight="1">
      <c r="A14" s="25"/>
      <c r="B14" s="26"/>
      <c r="C14" s="27"/>
      <c r="D14" s="27"/>
      <c r="E14" s="23"/>
      <c r="F14" s="24"/>
    </row>
    <row r="15" spans="1:11" ht="18" customHeight="1">
      <c r="A15" s="5" t="s">
        <v>16</v>
      </c>
      <c r="B15" s="26"/>
      <c r="C15" s="28"/>
      <c r="D15" s="28"/>
      <c r="E15" s="23"/>
      <c r="F15" s="24"/>
    </row>
    <row r="16" spans="1:11" ht="18" customHeight="1">
      <c r="A16" s="29" t="s">
        <v>40</v>
      </c>
      <c r="B16" s="30">
        <f>G7</f>
        <v>0.6</v>
      </c>
      <c r="E16" s="23"/>
      <c r="F16" s="24"/>
      <c r="G16" s="7">
        <f>0.9*G7</f>
        <v>0.54</v>
      </c>
      <c r="H16" s="7">
        <f>1.1*G7</f>
        <v>0.66</v>
      </c>
      <c r="I16" s="7"/>
      <c r="J16" s="6" t="str">
        <f>IF(B16&lt;J9, CONCATENATE("Under limit! ",J9,"°C/W "),CONCATENATE(J9," °C/W"))</f>
        <v>0.54 °C/W</v>
      </c>
      <c r="K16" s="6" t="str">
        <f>IF(B16&gt;K9, CONCATENATE("Over limit! ",K9,"°C/W"),CONCATENATE(K9,"°C/W"))</f>
        <v>0.66°C/W</v>
      </c>
    </row>
    <row r="17" spans="1:7" ht="18" customHeight="1">
      <c r="A17" s="25"/>
      <c r="B17" s="31"/>
      <c r="C17" s="32"/>
      <c r="D17" s="32"/>
      <c r="E17" s="23"/>
      <c r="F17" s="24"/>
    </row>
    <row r="18" spans="1:7" ht="18" customHeight="1">
      <c r="A18" s="33" t="s">
        <v>17</v>
      </c>
      <c r="B18" s="34"/>
      <c r="C18" s="34"/>
      <c r="D18" s="27"/>
      <c r="E18" s="23"/>
      <c r="F18" s="24"/>
      <c r="G18" s="14">
        <f>G6/G3/0.347</f>
        <v>2.2540139975298477</v>
      </c>
    </row>
    <row r="19" spans="1:7" ht="18" customHeight="1">
      <c r="A19" s="20" t="str">
        <f>CONCATENATE("When Tcase Temp = ", ROUND(I3, 1), "°C")</f>
        <v>When Tcase Temp = 77°C</v>
      </c>
      <c r="B19" s="20" t="s">
        <v>18</v>
      </c>
      <c r="C19" s="20" t="s">
        <v>19</v>
      </c>
      <c r="D19" s="20" t="str">
        <f>IF(G20&gt;K3,CONCATENATE("If Tcase Temp = ", B8, "°C"),"Stage Over Temp?")</f>
        <v>Stage Over Temp?</v>
      </c>
      <c r="G19" s="14">
        <f>10*LOG(G6/G5)</f>
        <v>13.700972386100251</v>
      </c>
    </row>
    <row r="20" spans="1:7" ht="18" customHeight="1">
      <c r="A20" s="27" t="s">
        <v>20</v>
      </c>
      <c r="B20" s="35">
        <f>152000/(100000000*I5/G2)^2*EXP(0.66/0.0000863/(273+I3+I9*(I4*I5+I6-I7)))</f>
        <v>21025.629604529197</v>
      </c>
      <c r="C20" s="36">
        <f>I3+I9*(I4*I5+I6-I7)</f>
        <v>102.28783515850145</v>
      </c>
      <c r="D20" s="21" t="str">
        <f>IF(B8+I9*(I4*I5+I6-I7)&gt;K3, CONCATENATE(ROUND(B8+I9*(I4*I5+I6-I7)-K3,0),"°C ","Over Tj max."), "None")</f>
        <v>None</v>
      </c>
      <c r="G20" s="37"/>
    </row>
    <row r="21" spans="1:7" ht="18" customHeight="1">
      <c r="A21" s="20" t="s">
        <v>21</v>
      </c>
      <c r="B21" s="35" t="s">
        <v>22</v>
      </c>
      <c r="C21" s="35" t="str">
        <f>CONCATENATE("Tj max Allowed ",K3, " °C ")</f>
        <v xml:space="preserve">Tj max Allowed 225 °C </v>
      </c>
      <c r="D21" s="35" t="str">
        <f>CONCATENATE("Tj max Allowed ",K3, " °C ")</f>
        <v xml:space="preserve">Tj max Allowed 225 °C </v>
      </c>
      <c r="F21" s="24"/>
      <c r="G21" s="7"/>
    </row>
    <row r="22" spans="1:7" ht="18" customHeight="1">
      <c r="A22" s="27" t="s">
        <v>0</v>
      </c>
      <c r="B22" s="38"/>
      <c r="D22" s="27"/>
      <c r="E22" s="34" t="s">
        <v>0</v>
      </c>
      <c r="F22" s="24"/>
    </row>
    <row r="23" spans="1:7" ht="18" customHeight="1" thickBot="1">
      <c r="A23" s="39" t="s">
        <v>23</v>
      </c>
      <c r="B23" s="40"/>
      <c r="C23" s="40"/>
      <c r="D23" s="40"/>
      <c r="E23" s="23"/>
      <c r="F23" s="24"/>
    </row>
    <row r="24" spans="1:7" ht="18" customHeight="1">
      <c r="A24" s="41" t="s">
        <v>24</v>
      </c>
      <c r="B24" s="42" t="str">
        <f>CONCATENATE(ROUND(B20,0), " Years")</f>
        <v>21026 Years</v>
      </c>
      <c r="C24" s="43" t="s">
        <v>25</v>
      </c>
      <c r="D24" s="44" t="str">
        <f>CONCATENATE(" ",ROUND(I3, 1), " °C ")</f>
        <v xml:space="preserve"> 77 °C </v>
      </c>
    </row>
    <row r="25" spans="1:7" ht="18" customHeight="1" thickBot="1">
      <c r="A25" s="45" t="s">
        <v>26</v>
      </c>
      <c r="B25" s="46" t="str">
        <f>CONCATENATE(B13," Years")</f>
        <v>10 Years</v>
      </c>
      <c r="C25" s="47" t="s">
        <v>27</v>
      </c>
      <c r="D25" s="48">
        <f xml:space="preserve"> LOGNORMDIST(B13*365*24,LN(B20*365*24),0.8)*2*1000000000/8760/B13</f>
        <v>1.2977834893390612E-17</v>
      </c>
    </row>
    <row r="26" spans="1:7" ht="18" customHeight="1">
      <c r="A26" s="3" t="s">
        <v>28</v>
      </c>
      <c r="B26" s="49"/>
      <c r="C26" s="50"/>
      <c r="D26" s="51"/>
    </row>
    <row r="27" spans="1:7" ht="18" customHeight="1">
      <c r="A27" s="3" t="s">
        <v>29</v>
      </c>
      <c r="B27" s="49"/>
      <c r="C27" s="50"/>
      <c r="D27" s="51"/>
    </row>
    <row r="28" spans="1:7" ht="18" customHeight="1">
      <c r="A28" s="2" t="s">
        <v>30</v>
      </c>
      <c r="B28" s="49"/>
      <c r="C28" s="50"/>
      <c r="D28" s="51"/>
    </row>
    <row r="29" spans="1:7" ht="18" customHeight="1"/>
    <row r="30" spans="1:7" ht="18" customHeight="1">
      <c r="A30" s="52" t="str">
        <f>IF(G20&gt;K3, CONCATENATE("Case Temperature was modified to ",ROUND(I3, 1)," °C based on maximum die junction temperature allowed."),"")</f>
        <v/>
      </c>
      <c r="B30" s="53"/>
      <c r="C30" s="38"/>
      <c r="D30" s="38"/>
    </row>
    <row r="31" spans="1:7" ht="18" customHeight="1">
      <c r="A31" s="54" t="str">
        <f>IF(G20&gt;K3, "Better Heatsink, Cooling Systems or Operating conditions are Necessary to Reduce the Case Temperature","")</f>
        <v/>
      </c>
      <c r="B31" s="34"/>
      <c r="C31" s="34"/>
      <c r="D31" s="34"/>
      <c r="E31" s="23"/>
      <c r="F31" s="24" t="s">
        <v>0</v>
      </c>
    </row>
    <row r="32" spans="1:7">
      <c r="A32" s="54"/>
      <c r="B32" s="55"/>
      <c r="C32" s="55"/>
      <c r="D32" s="55"/>
      <c r="E32" s="23"/>
      <c r="F32" s="24"/>
    </row>
    <row r="33" spans="1:6">
      <c r="E33" s="23"/>
      <c r="F33" s="24"/>
    </row>
    <row r="34" spans="1:6">
      <c r="E34" s="23"/>
      <c r="F34" s="24"/>
    </row>
    <row r="35" spans="1:6">
      <c r="E35" s="23"/>
      <c r="F35" s="24"/>
    </row>
    <row r="36" spans="1:6">
      <c r="E36" s="23"/>
      <c r="F36" s="24"/>
    </row>
    <row r="37" spans="1:6">
      <c r="E37" s="23"/>
      <c r="F37" s="24"/>
    </row>
    <row r="38" spans="1:6">
      <c r="E38" s="23"/>
      <c r="F38" s="24"/>
    </row>
    <row r="39" spans="1:6">
      <c r="E39" s="23"/>
      <c r="F39" s="24"/>
    </row>
    <row r="40" spans="1:6">
      <c r="E40" s="23"/>
      <c r="F40" s="24"/>
    </row>
    <row r="41" spans="1:6">
      <c r="E41" s="23"/>
      <c r="F41" s="24"/>
    </row>
    <row r="42" spans="1:6">
      <c r="A42" s="54"/>
      <c r="B42" s="34"/>
      <c r="C42" s="34"/>
      <c r="D42" s="34"/>
      <c r="E42" s="23"/>
      <c r="F42" s="24"/>
    </row>
    <row r="43" spans="1:6">
      <c r="D43" s="34"/>
      <c r="E43" s="23"/>
      <c r="F43" s="24"/>
    </row>
    <row r="44" spans="1:6">
      <c r="D44" s="38"/>
    </row>
    <row r="45" spans="1:6">
      <c r="D45" s="53"/>
    </row>
    <row r="46" spans="1:6">
      <c r="D46" s="53"/>
    </row>
    <row r="48" spans="1:6">
      <c r="D48" s="53"/>
    </row>
    <row r="49" spans="4:4">
      <c r="D49" s="53"/>
    </row>
    <row r="51" spans="4:4">
      <c r="D51" s="53"/>
    </row>
    <row r="52" spans="4:4">
      <c r="D52" s="53"/>
    </row>
  </sheetData>
  <phoneticPr fontId="1" type="noConversion"/>
  <pageMargins left="0.25" right="0.2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Program</vt:lpstr>
      <vt:lpstr>CW_100W</vt:lpstr>
      <vt:lpstr>CW_21.9W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r7223c</cp:lastModifiedBy>
  <cp:lastPrinted>2009-11-03T18:11:03Z</cp:lastPrinted>
  <dcterms:created xsi:type="dcterms:W3CDTF">2002-11-13T17:41:12Z</dcterms:created>
  <dcterms:modified xsi:type="dcterms:W3CDTF">2013-04-30T04:16:08Z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