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760" yWindow="90" windowWidth="18345" windowHeight="10725" tabRatio="643"/>
  </bookViews>
  <sheets>
    <sheet name="The Program" sheetId="2" r:id="rId1"/>
    <sheet name="CW_160W" sheetId="3" r:id="rId2"/>
    <sheet name="CW_50W" sheetId="12" r:id="rId3"/>
  </sheets>
  <calcPr calcId="125725"/>
</workbook>
</file>

<file path=xl/calcChain.xml><?xml version="1.0" encoding="utf-8"?>
<calcChain xmlns="http://schemas.openxmlformats.org/spreadsheetml/2006/main">
  <c r="G18" i="12"/>
  <c r="G18" i="3"/>
  <c r="G4" l="1"/>
  <c r="B10" s="1"/>
  <c r="G4" i="12"/>
  <c r="B10" s="1"/>
  <c r="C21" i="3"/>
  <c r="A31" i="12"/>
  <c r="A30"/>
  <c r="B8"/>
  <c r="I3"/>
  <c r="A19" s="1"/>
  <c r="B16"/>
  <c r="G16"/>
  <c r="G8" s="1"/>
  <c r="J9" s="1"/>
  <c r="H16"/>
  <c r="G9" s="1"/>
  <c r="K9" s="1"/>
  <c r="K16" s="1"/>
  <c r="B9"/>
  <c r="I4"/>
  <c r="B11"/>
  <c r="I6" s="1"/>
  <c r="B12"/>
  <c r="C12" s="1"/>
  <c r="B25"/>
  <c r="D24"/>
  <c r="D21"/>
  <c r="C21"/>
  <c r="G19"/>
  <c r="D19"/>
  <c r="D13"/>
  <c r="C13"/>
  <c r="D12"/>
  <c r="C11"/>
  <c r="D9"/>
  <c r="C9"/>
  <c r="I8"/>
  <c r="D8"/>
  <c r="C8"/>
  <c r="A1"/>
  <c r="A1" i="3"/>
  <c r="B11"/>
  <c r="D11" s="1"/>
  <c r="B9"/>
  <c r="I4"/>
  <c r="B12"/>
  <c r="I7" s="1"/>
  <c r="B16"/>
  <c r="G16"/>
  <c r="G8" s="1"/>
  <c r="J9" s="1"/>
  <c r="H16"/>
  <c r="G9" s="1"/>
  <c r="K9" s="1"/>
  <c r="K16" s="1"/>
  <c r="B8"/>
  <c r="D8" s="1"/>
  <c r="I3"/>
  <c r="D24" s="1"/>
  <c r="G19"/>
  <c r="A31"/>
  <c r="A30"/>
  <c r="B25"/>
  <c r="D21"/>
  <c r="D19"/>
  <c r="A19"/>
  <c r="D13"/>
  <c r="C13"/>
  <c r="D12"/>
  <c r="C11"/>
  <c r="D9"/>
  <c r="C9"/>
  <c r="I8"/>
  <c r="C8"/>
  <c r="D11" i="12" l="1"/>
  <c r="I9"/>
  <c r="I7"/>
  <c r="I9" i="3"/>
  <c r="C12"/>
  <c r="I6"/>
  <c r="J16"/>
  <c r="C10"/>
  <c r="I5"/>
  <c r="D10"/>
  <c r="J16" i="12"/>
  <c r="C10"/>
  <c r="D10"/>
  <c r="I5"/>
  <c r="B20" l="1"/>
  <c r="C20" i="3"/>
  <c r="B20"/>
  <c r="D20"/>
  <c r="C20" i="12"/>
  <c r="D20"/>
  <c r="D25" i="3" l="1"/>
  <c r="B24"/>
  <c r="D25" i="12"/>
  <c r="B24"/>
</calcChain>
</file>

<file path=xl/sharedStrings.xml><?xml version="1.0" encoding="utf-8"?>
<sst xmlns="http://schemas.openxmlformats.org/spreadsheetml/2006/main" count="116" uniqueCount="41">
  <si>
    <t xml:space="preserve"> </t>
  </si>
  <si>
    <t>Table 5. Input &amp; Device Variables used for Electromigration MTTF calculation</t>
  </si>
  <si>
    <t>Input Variables Tcase, Vdd, Id1, Pin, Pout &amp; BTS target life</t>
  </si>
  <si>
    <t>Input Category</t>
  </si>
  <si>
    <t>Input Variables</t>
  </si>
  <si>
    <t>Input lower limit</t>
  </si>
  <si>
    <t>Input Upper limit</t>
  </si>
  <si>
    <t xml:space="preserve">Tcase (°C) </t>
  </si>
  <si>
    <t>Note: The input limits are solely for Electromigration MTTF calculation purpose, cannot be interpreted as product guarantee</t>
  </si>
  <si>
    <t>Vdd (V)</t>
  </si>
  <si>
    <t>Id1 (A)</t>
  </si>
  <si>
    <t>Table 1. Input Variables</t>
  </si>
  <si>
    <t>Pin (W)</t>
  </si>
  <si>
    <t>Input upper limit</t>
  </si>
  <si>
    <t>Pout (W)</t>
  </si>
  <si>
    <t>BTS target life (yrs)</t>
  </si>
  <si>
    <t>Table 2. Device Variables</t>
  </si>
  <si>
    <t>Table 3. Stage Status</t>
  </si>
  <si>
    <t>Electromigration MTTF (yrs)</t>
  </si>
  <si>
    <t>Stage Temperature (°C)</t>
  </si>
  <si>
    <t>Stage1 Status</t>
  </si>
  <si>
    <t>Limits</t>
  </si>
  <si>
    <t xml:space="preserve">100 years Min </t>
  </si>
  <si>
    <t>Table 4. Electromigration MTTF and FIT Rate Results</t>
  </si>
  <si>
    <t xml:space="preserve">Device Electromigration MTTF </t>
  </si>
  <si>
    <t xml:space="preserve">At Case Temp.  </t>
  </si>
  <si>
    <t xml:space="preserve">When BTS target life is </t>
  </si>
  <si>
    <t xml:space="preserve"> the FIT Rate* is</t>
  </si>
  <si>
    <t>* The FIT rate is determined by calculating the cumulative fraction fail over the expected life, based on a lognormal distribution.</t>
  </si>
  <si>
    <t>This failure rate is extrapolated to calculate a new MTTF. The FIT rate is then calculated according to the standard formula -- FIT = 1E9/MTTF.</t>
  </si>
  <si>
    <t>This approach will result in a more accurate and meaningful estimate of the FIT rate over the BTS life.</t>
  </si>
  <si>
    <t>Device</t>
  </si>
  <si>
    <t>Stage1_Par</t>
  </si>
  <si>
    <t>Tcase (°C) U</t>
  </si>
  <si>
    <t>AFT18S230S_160W</t>
  </si>
  <si>
    <t>AFT18S230S_50W</t>
  </si>
  <si>
    <t>Device Variables, Fjc1</t>
  </si>
  <si>
    <t xml:space="preserve">Fjc1 (°C/W)  </t>
  </si>
  <si>
    <t>Fjc1 (°C/W)L</t>
  </si>
  <si>
    <t>Fjc1 (°C/W)U</t>
  </si>
  <si>
    <t>Fjc1 (°C/W)</t>
  </si>
</sst>
</file>

<file path=xl/styles.xml><?xml version="1.0" encoding="utf-8"?>
<styleSheet xmlns="http://schemas.openxmlformats.org/spreadsheetml/2006/main">
  <numFmts count="4">
    <numFmt numFmtId="164" formatCode="0.0"/>
    <numFmt numFmtId="165" formatCode="0.000"/>
    <numFmt numFmtId="166" formatCode="0.00000"/>
    <numFmt numFmtId="167" formatCode="0.0E+00"/>
  </numFmts>
  <fonts count="15">
    <font>
      <sz val="10"/>
      <name val="Geneva"/>
    </font>
    <font>
      <sz val="8"/>
      <name val="Geneva"/>
    </font>
    <font>
      <sz val="14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indexed="12"/>
      <name val="Calibri"/>
      <family val="2"/>
      <scheme val="minor"/>
    </font>
    <font>
      <sz val="10"/>
      <color indexed="9"/>
      <name val="Calibri"/>
      <family val="2"/>
      <scheme val="minor"/>
    </font>
    <font>
      <sz val="10"/>
      <color indexed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color indexed="56"/>
      <name val="Calibri"/>
      <family val="2"/>
      <scheme val="minor"/>
    </font>
    <font>
      <b/>
      <sz val="12"/>
      <color indexed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 applyBorder="0"/>
  </cellStyleXfs>
  <cellXfs count="6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left"/>
    </xf>
    <xf numFmtId="1" fontId="6" fillId="0" borderId="0" xfId="0" applyNumberFormat="1" applyFont="1" applyBorder="1" applyAlignment="1">
      <alignment horizontal="center"/>
    </xf>
    <xf numFmtId="0" fontId="7" fillId="0" borderId="0" xfId="0" applyFont="1"/>
    <xf numFmtId="0" fontId="8" fillId="0" borderId="0" xfId="0" applyFont="1"/>
    <xf numFmtId="0" fontId="5" fillId="0" borderId="0" xfId="0" applyFont="1" applyFill="1" applyBorder="1" applyAlignment="1">
      <alignment horizontal="center" vertical="top" wrapText="1"/>
    </xf>
    <xf numFmtId="164" fontId="5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2" fontId="5" fillId="0" borderId="0" xfId="0" applyNumberFormat="1" applyFont="1" applyBorder="1" applyAlignment="1">
      <alignment horizontal="center"/>
    </xf>
    <xf numFmtId="49" fontId="5" fillId="0" borderId="0" xfId="0" applyNumberFormat="1" applyFont="1" applyFill="1" applyBorder="1" applyAlignment="1">
      <alignment horizontal="center" vertical="top" wrapText="1"/>
    </xf>
    <xf numFmtId="165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0" fontId="5" fillId="0" borderId="0" xfId="0" applyFont="1"/>
    <xf numFmtId="0" fontId="4" fillId="0" borderId="0" xfId="0" applyFont="1" applyBorder="1"/>
    <xf numFmtId="0" fontId="5" fillId="0" borderId="0" xfId="0" applyFont="1" applyBorder="1"/>
    <xf numFmtId="1" fontId="11" fillId="0" borderId="0" xfId="0" applyNumberFormat="1" applyFont="1" applyBorder="1" applyAlignment="1">
      <alignment horizontal="center"/>
    </xf>
    <xf numFmtId="166" fontId="5" fillId="0" borderId="0" xfId="0" applyNumberFormat="1" applyFont="1" applyBorder="1" applyAlignment="1">
      <alignment horizontal="center"/>
    </xf>
    <xf numFmtId="0" fontId="3" fillId="0" borderId="0" xfId="0" applyFont="1" applyBorder="1"/>
    <xf numFmtId="1" fontId="4" fillId="0" borderId="0" xfId="0" applyNumberFormat="1" applyFont="1" applyBorder="1" applyAlignment="1">
      <alignment horizontal="center"/>
    </xf>
    <xf numFmtId="0" fontId="13" fillId="0" borderId="0" xfId="0" applyFont="1"/>
    <xf numFmtId="1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9" fillId="0" borderId="0" xfId="0" applyFont="1" applyBorder="1" applyAlignment="1">
      <alignment horizontal="left"/>
    </xf>
    <xf numFmtId="0" fontId="11" fillId="0" borderId="0" xfId="0" applyFont="1" applyBorder="1"/>
    <xf numFmtId="1" fontId="14" fillId="0" borderId="0" xfId="0" applyNumberFormat="1" applyFont="1" applyBorder="1" applyAlignment="1">
      <alignment horizontal="center"/>
    </xf>
    <xf numFmtId="1" fontId="12" fillId="0" borderId="0" xfId="0" applyNumberFormat="1" applyFont="1" applyBorder="1" applyAlignment="1">
      <alignment horizont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/>
    </xf>
    <xf numFmtId="2" fontId="11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1" fontId="11" fillId="0" borderId="0" xfId="0" applyNumberFormat="1" applyFont="1" applyBorder="1" applyAlignment="1">
      <alignment horizontal="center" vertical="center"/>
    </xf>
    <xf numFmtId="1" fontId="12" fillId="0" borderId="1" xfId="0" applyNumberFormat="1" applyFont="1" applyBorder="1" applyAlignment="1">
      <alignment horizontal="center" vertical="center"/>
    </xf>
    <xf numFmtId="164" fontId="12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1" fontId="2" fillId="2" borderId="3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1" fontId="2" fillId="2" borderId="6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vertical="center"/>
    </xf>
    <xf numFmtId="167" fontId="2" fillId="2" borderId="7" xfId="0" quotePrefix="1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1" fontId="2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quotePrefix="1" applyFont="1" applyFill="1" applyBorder="1" applyAlignment="1">
      <alignment horizontal="center" vertical="center"/>
    </xf>
    <xf numFmtId="165" fontId="5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66675</xdr:rowOff>
    </xdr:from>
    <xdr:to>
      <xdr:col>9</xdr:col>
      <xdr:colOff>95250</xdr:colOff>
      <xdr:row>45</xdr:row>
      <xdr:rowOff>123825</xdr:rowOff>
    </xdr:to>
    <xdr:pic>
      <xdr:nvPicPr>
        <xdr:cNvPr id="104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66675"/>
          <a:ext cx="5505450" cy="73437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45</xdr:row>
      <xdr:rowOff>123825</xdr:rowOff>
    </xdr:from>
    <xdr:to>
      <xdr:col>9</xdr:col>
      <xdr:colOff>104775</xdr:colOff>
      <xdr:row>57</xdr:row>
      <xdr:rowOff>85725</xdr:rowOff>
    </xdr:to>
    <xdr:pic>
      <xdr:nvPicPr>
        <xdr:cNvPr id="104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725" y="7410450"/>
          <a:ext cx="5505450" cy="19050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>
      <selection activeCell="K6" sqref="K6"/>
    </sheetView>
  </sheetViews>
  <sheetFormatPr defaultRowHeight="12.75"/>
  <sheetData/>
  <phoneticPr fontId="0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2"/>
  <sheetViews>
    <sheetView zoomScaleNormal="100" workbookViewId="0">
      <selection activeCell="E32" sqref="E32"/>
    </sheetView>
  </sheetViews>
  <sheetFormatPr defaultRowHeight="12.75"/>
  <cols>
    <col min="1" max="1" width="38.5703125" style="2" customWidth="1"/>
    <col min="2" max="2" width="26.140625" style="2" customWidth="1"/>
    <col min="3" max="3" width="23.140625" style="2" customWidth="1"/>
    <col min="4" max="4" width="23.28515625" style="2" customWidth="1"/>
    <col min="5" max="5" width="3.85546875" style="3" customWidth="1"/>
    <col min="6" max="6" width="14.85546875" style="18" customWidth="1"/>
    <col min="7" max="7" width="23.7109375" style="18" customWidth="1"/>
    <col min="8" max="8" width="17.7109375" style="18" customWidth="1"/>
    <col min="9" max="9" width="13.5703125" style="18" customWidth="1"/>
    <col min="10" max="10" width="13.85546875" style="18" customWidth="1"/>
    <col min="11" max="11" width="26" style="18" customWidth="1"/>
    <col min="12" max="12" width="9.140625" style="8" customWidth="1"/>
    <col min="13" max="17" width="9.140625" style="9" customWidth="1"/>
    <col min="18" max="16384" width="9.140625" style="2"/>
  </cols>
  <sheetData>
    <row r="1" spans="1:11" ht="18" customHeight="1">
      <c r="A1" s="1" t="str">
        <f>CONCATENATE("Electromigration MTTF Calculations for Device ",G1,", Rev0")</f>
        <v>Electromigration MTTF Calculations for Device AFT18S230S_160W, Rev0</v>
      </c>
      <c r="F1" s="4" t="s">
        <v>31</v>
      </c>
      <c r="G1" s="5" t="s">
        <v>34</v>
      </c>
      <c r="H1" s="6" t="s">
        <v>1</v>
      </c>
      <c r="I1" s="7"/>
      <c r="J1" s="7"/>
      <c r="K1" s="7"/>
    </row>
    <row r="2" spans="1:11" ht="15" customHeight="1">
      <c r="A2" s="32" t="s">
        <v>2</v>
      </c>
      <c r="B2" s="33"/>
      <c r="C2" s="33"/>
      <c r="D2" s="33"/>
      <c r="F2" s="4" t="s">
        <v>32</v>
      </c>
      <c r="G2" s="5">
        <v>6547.5</v>
      </c>
      <c r="H2" s="4" t="s">
        <v>3</v>
      </c>
      <c r="I2" s="4" t="s">
        <v>4</v>
      </c>
      <c r="J2" s="4" t="s">
        <v>5</v>
      </c>
      <c r="K2" s="4" t="s">
        <v>6</v>
      </c>
    </row>
    <row r="3" spans="1:11" ht="15" customHeight="1">
      <c r="A3" s="32" t="s">
        <v>36</v>
      </c>
      <c r="B3" s="33"/>
      <c r="C3" s="33"/>
      <c r="D3" s="33"/>
      <c r="F3" s="4" t="s">
        <v>9</v>
      </c>
      <c r="G3" s="5">
        <v>28</v>
      </c>
      <c r="H3" s="10" t="s">
        <v>7</v>
      </c>
      <c r="I3" s="11">
        <f>IF(G20&gt;K3, B8-(G20-K3  ),  B8)</f>
        <v>92</v>
      </c>
      <c r="J3" s="4">
        <v>0</v>
      </c>
      <c r="K3" s="12">
        <v>225</v>
      </c>
    </row>
    <row r="4" spans="1:11" ht="15" customHeight="1">
      <c r="A4" s="33" t="s">
        <v>8</v>
      </c>
      <c r="B4" s="33"/>
      <c r="C4" s="33"/>
      <c r="D4" s="33"/>
      <c r="F4" s="4" t="s">
        <v>10</v>
      </c>
      <c r="G4" s="13">
        <f>G18</f>
        <v>12.476606363069244</v>
      </c>
      <c r="H4" s="10" t="s">
        <v>9</v>
      </c>
      <c r="I4" s="14">
        <f>IF(B9&lt;J4,J4,IF(B9&gt;K4,K4,B9))</f>
        <v>28</v>
      </c>
      <c r="J4" s="4">
        <v>9</v>
      </c>
      <c r="K4" s="4">
        <v>60</v>
      </c>
    </row>
    <row r="5" spans="1:11" ht="15" customHeight="1">
      <c r="A5" s="33" t="s">
        <v>0</v>
      </c>
      <c r="B5" s="33"/>
      <c r="C5" s="33"/>
      <c r="D5" s="33"/>
      <c r="F5" s="4" t="s">
        <v>12</v>
      </c>
      <c r="G5" s="13">
        <v>3.93</v>
      </c>
      <c r="H5" s="15" t="s">
        <v>10</v>
      </c>
      <c r="I5" s="14">
        <f>IF(B10&lt;J5,J5,IF(B10&gt;K5,K5,B10))</f>
        <v>12.476606363069244</v>
      </c>
      <c r="J5" s="16">
        <v>1E-3</v>
      </c>
      <c r="K5" s="4">
        <v>35</v>
      </c>
    </row>
    <row r="6" spans="1:11" ht="15" customHeight="1">
      <c r="A6" s="32" t="s">
        <v>11</v>
      </c>
      <c r="B6" s="33"/>
      <c r="C6" s="33"/>
      <c r="D6" s="33"/>
      <c r="F6" s="4" t="s">
        <v>14</v>
      </c>
      <c r="G6" s="5">
        <v>160</v>
      </c>
      <c r="H6" s="10" t="s">
        <v>12</v>
      </c>
      <c r="I6" s="4">
        <f>IF(B11&lt;J6,J6,IF(B11&gt;K6,K6,B11))</f>
        <v>3.93</v>
      </c>
      <c r="J6" s="17">
        <v>0</v>
      </c>
      <c r="K6" s="4">
        <v>15</v>
      </c>
    </row>
    <row r="7" spans="1:11" ht="15" customHeight="1">
      <c r="A7" s="34" t="s">
        <v>3</v>
      </c>
      <c r="B7" s="34" t="s">
        <v>4</v>
      </c>
      <c r="C7" s="34" t="s">
        <v>5</v>
      </c>
      <c r="D7" s="34" t="s">
        <v>13</v>
      </c>
      <c r="F7" s="10" t="s">
        <v>37</v>
      </c>
      <c r="G7" s="5">
        <v>0.31</v>
      </c>
      <c r="H7" s="10" t="s">
        <v>14</v>
      </c>
      <c r="I7" s="4">
        <f>IF(B12&lt;J7,J7,IF(B12&gt;K7,K7,B12))</f>
        <v>160</v>
      </c>
      <c r="J7" s="17">
        <v>0</v>
      </c>
      <c r="K7" s="4">
        <v>1500</v>
      </c>
    </row>
    <row r="8" spans="1:11" ht="15" customHeight="1">
      <c r="A8" s="34" t="s">
        <v>7</v>
      </c>
      <c r="B8" s="35">
        <f>G11</f>
        <v>92</v>
      </c>
      <c r="C8" s="36" t="str">
        <f>IF(B8&lt;J3, CONCATENATE("Tcase under limit! ",J3,"°C "),CONCATENATE(J3,"°C "))</f>
        <v xml:space="preserve">0°C </v>
      </c>
      <c r="D8" s="37" t="str">
        <f>IF(B8&gt;150, CONCATENATE("Warning Tcase OVER 150°C! "),CONCATENATE("150°C "))</f>
        <v xml:space="preserve">150°C </v>
      </c>
      <c r="F8" s="10" t="s">
        <v>38</v>
      </c>
      <c r="G8" s="5">
        <f>G16</f>
        <v>0.27900000000000003</v>
      </c>
      <c r="H8" s="10" t="s">
        <v>15</v>
      </c>
      <c r="I8" s="4">
        <f>IF(B13&lt;J8,J8,IF(B13&gt;K8,K8,B13))</f>
        <v>10</v>
      </c>
      <c r="J8" s="17">
        <v>7</v>
      </c>
      <c r="K8" s="4">
        <v>30</v>
      </c>
    </row>
    <row r="9" spans="1:11" ht="15" customHeight="1">
      <c r="A9" s="34" t="s">
        <v>9</v>
      </c>
      <c r="B9" s="35">
        <f>G3</f>
        <v>28</v>
      </c>
      <c r="C9" s="36" t="str">
        <f>IF(B9&lt;J4, CONCATENATE("Vdd lnder limit! ",J4,"V "),CONCATENATE(J4,"V"))</f>
        <v>9V</v>
      </c>
      <c r="D9" s="36" t="str">
        <f>IF(B9&gt;K4, CONCATENATE("Vdd over limit! ",K4,"V "),CONCATENATE(K4,"V"))</f>
        <v>60V</v>
      </c>
      <c r="F9" s="10" t="s">
        <v>39</v>
      </c>
      <c r="G9" s="5">
        <f>H16</f>
        <v>0.34100000000000003</v>
      </c>
      <c r="H9" s="10" t="s">
        <v>40</v>
      </c>
      <c r="I9" s="4">
        <f>IF(B16&lt;J9,J9,IF(B16&gt;K9,K9,B16))</f>
        <v>0.31</v>
      </c>
      <c r="J9" s="4">
        <f>G8</f>
        <v>0.27900000000000003</v>
      </c>
      <c r="K9" s="4">
        <f>G9</f>
        <v>0.34100000000000003</v>
      </c>
    </row>
    <row r="10" spans="1:11" ht="15" customHeight="1">
      <c r="A10" s="34" t="s">
        <v>10</v>
      </c>
      <c r="B10" s="35">
        <f>G4</f>
        <v>12.476606363069244</v>
      </c>
      <c r="C10" s="36" t="str">
        <f>IF(B10&lt;J5, CONCATENATE("Id3 under limit! ",J5,"A "),CONCATENATE(J5,"A"))</f>
        <v>0.001A</v>
      </c>
      <c r="D10" s="36" t="str">
        <f>IF(B10&gt;K5, CONCATENATE("Vdd over limit! ",K5,"A "),CONCATENATE(K5,"A"))</f>
        <v>35A</v>
      </c>
      <c r="F10" s="4" t="s">
        <v>33</v>
      </c>
      <c r="G10" s="5">
        <v>150</v>
      </c>
    </row>
    <row r="11" spans="1:11" ht="15" customHeight="1">
      <c r="A11" s="34" t="s">
        <v>12</v>
      </c>
      <c r="B11" s="35">
        <f>G5</f>
        <v>3.93</v>
      </c>
      <c r="C11" s="36" t="str">
        <f>IF(B11&lt;J6, CONCATENATE("Vdd under limit! ",J6,"W "),CONCATENATE(J6,"W"))</f>
        <v>0W</v>
      </c>
      <c r="D11" s="36" t="str">
        <f>IF(B11&gt;K6, CONCATENATE("Vdd over limit! ",K6,"W "),CONCATENATE(K6,"W"))</f>
        <v>15W</v>
      </c>
      <c r="F11" s="4" t="s">
        <v>7</v>
      </c>
      <c r="G11" s="13">
        <v>92</v>
      </c>
    </row>
    <row r="12" spans="1:11" ht="15" customHeight="1">
      <c r="A12" s="34" t="s">
        <v>14</v>
      </c>
      <c r="B12" s="35">
        <f>G6</f>
        <v>160</v>
      </c>
      <c r="C12" s="36" t="str">
        <f>IF(B12&lt;J7, CONCATENATE("Vdd under limit! ",J7,"W "),CONCATENATE(J7,"W"))</f>
        <v>0W</v>
      </c>
      <c r="D12" s="36" t="str">
        <f>IF(B12&gt;K7, CONCATENATE("Vdd over limit! ",K7,"W"),CONCATENATE(K7,"W"))</f>
        <v>1500W</v>
      </c>
      <c r="E12" s="19"/>
      <c r="F12" s="10"/>
      <c r="G12" s="13"/>
    </row>
    <row r="13" spans="1:11" ht="15" customHeight="1">
      <c r="A13" s="34" t="s">
        <v>15</v>
      </c>
      <c r="B13" s="34">
        <v>10</v>
      </c>
      <c r="C13" s="36" t="str">
        <f>IF(B13&lt;J8, CONCATENATE("Vdd under limit! ",J8,"yrs "),CONCATENATE(J8,"yrs"))</f>
        <v>7yrs</v>
      </c>
      <c r="D13" s="36" t="str">
        <f>IF(B13&gt;K8, CONCATENATE("Vdd over limit! ",K8,"yrs"),CONCATENATE(K8,"yrs"))</f>
        <v>30yrs</v>
      </c>
      <c r="E13" s="19"/>
      <c r="F13" s="20"/>
    </row>
    <row r="14" spans="1:11" ht="15" customHeight="1">
      <c r="A14" s="38"/>
      <c r="B14" s="39"/>
      <c r="C14" s="40"/>
      <c r="D14" s="40"/>
      <c r="E14" s="19"/>
      <c r="F14" s="20"/>
    </row>
    <row r="15" spans="1:11" ht="15" customHeight="1">
      <c r="A15" s="32" t="s">
        <v>16</v>
      </c>
      <c r="B15" s="39"/>
      <c r="C15" s="41"/>
      <c r="D15" s="41"/>
      <c r="E15" s="19"/>
      <c r="F15" s="20"/>
    </row>
    <row r="16" spans="1:11" ht="15" customHeight="1">
      <c r="A16" s="42" t="s">
        <v>40</v>
      </c>
      <c r="B16" s="43">
        <f>G7</f>
        <v>0.31</v>
      </c>
      <c r="C16" s="33"/>
      <c r="D16" s="33"/>
      <c r="E16" s="19"/>
      <c r="F16" s="20"/>
      <c r="G16" s="5">
        <f>0.9*G7</f>
        <v>0.27900000000000003</v>
      </c>
      <c r="H16" s="5">
        <f>1.1*G7</f>
        <v>0.34100000000000003</v>
      </c>
      <c r="I16" s="5"/>
      <c r="J16" s="4" t="str">
        <f>IF(B16&lt;J9, CONCATENATE("Under limit! ",J9,"°C/W "),CONCATENATE(J9," °C/W"))</f>
        <v>0.279 °C/W</v>
      </c>
      <c r="K16" s="4" t="str">
        <f>IF(B16&gt;K9, CONCATENATE("Over limit! ",K9,"°C/W"),CONCATENATE(K9,"°C/W"))</f>
        <v>0.341°C/W</v>
      </c>
    </row>
    <row r="17" spans="1:7" ht="15" customHeight="1">
      <c r="A17" s="38"/>
      <c r="B17" s="44"/>
      <c r="C17" s="45"/>
      <c r="D17" s="45"/>
      <c r="E17" s="19"/>
      <c r="F17" s="20"/>
    </row>
    <row r="18" spans="1:7" ht="15" customHeight="1">
      <c r="A18" s="46" t="s">
        <v>17</v>
      </c>
      <c r="B18" s="47"/>
      <c r="C18" s="47"/>
      <c r="D18" s="40"/>
      <c r="E18" s="19"/>
      <c r="F18" s="20"/>
      <c r="G18" s="13">
        <f>G6/G3/0.458</f>
        <v>12.476606363069244</v>
      </c>
    </row>
    <row r="19" spans="1:7" ht="15" customHeight="1">
      <c r="A19" s="36" t="str">
        <f>CONCATENATE("When Tcase Temp = ", ROUND(I3, 1), "°C")</f>
        <v>When Tcase Temp = 92°C</v>
      </c>
      <c r="B19" s="36" t="s">
        <v>18</v>
      </c>
      <c r="C19" s="36" t="s">
        <v>19</v>
      </c>
      <c r="D19" s="36" t="str">
        <f>IF(G20&gt;K3,CONCATENATE("If Tcase Temp = ", B8, "°C"),"Stage Over Temp?")</f>
        <v>Stage Over Temp?</v>
      </c>
      <c r="G19" s="13">
        <f>10*LOG(G6/G5)</f>
        <v>16.097274322804981</v>
      </c>
    </row>
    <row r="20" spans="1:7" ht="15" customHeight="1">
      <c r="A20" s="40" t="s">
        <v>20</v>
      </c>
      <c r="B20" s="48">
        <f>152000/(100000000*I5/G2)^2*EXP(0.66/0.0000863/(273+I3+I9*(I4*I5+I6-I7)))</f>
        <v>274.3798356204058</v>
      </c>
      <c r="C20" s="49">
        <f>I3+I9*(I4*I5+I6-I7)</f>
        <v>151.91524323144105</v>
      </c>
      <c r="D20" s="37" t="str">
        <f>IF(B8+I9*(I4*I5+I6-I7)&gt;K3, CONCATENATE(ROUND(B8+I9*(I4*I5+I6-I7)-K3,0),"°C ","Over Tj max."), "None")</f>
        <v>None</v>
      </c>
      <c r="G20" s="22"/>
    </row>
    <row r="21" spans="1:7" ht="15" customHeight="1">
      <c r="A21" s="36" t="s">
        <v>21</v>
      </c>
      <c r="B21" s="50" t="s">
        <v>22</v>
      </c>
      <c r="C21" s="50" t="str">
        <f>CONCATENATE("Tj max Allowed ",K3, " °C ")</f>
        <v xml:space="preserve">Tj max Allowed 225 °C </v>
      </c>
      <c r="D21" s="50" t="str">
        <f>CONCATENATE("Tj max Allowed ",K3, " °C ")</f>
        <v xml:space="preserve">Tj max Allowed 225 °C </v>
      </c>
      <c r="F21" s="20"/>
      <c r="G21" s="5"/>
    </row>
    <row r="22" spans="1:7" ht="15" customHeight="1">
      <c r="A22" s="40" t="s">
        <v>0</v>
      </c>
      <c r="B22" s="51"/>
      <c r="C22" s="33"/>
      <c r="D22" s="40"/>
      <c r="E22" s="24" t="s">
        <v>0</v>
      </c>
      <c r="F22" s="20"/>
    </row>
    <row r="23" spans="1:7" ht="15" customHeight="1" thickBot="1">
      <c r="A23" s="52" t="s">
        <v>23</v>
      </c>
      <c r="B23" s="53"/>
      <c r="C23" s="53"/>
      <c r="D23" s="53"/>
      <c r="E23" s="19"/>
      <c r="F23" s="20"/>
    </row>
    <row r="24" spans="1:7" ht="15" customHeight="1">
      <c r="A24" s="54" t="s">
        <v>24</v>
      </c>
      <c r="B24" s="55" t="str">
        <f>CONCATENATE(ROUND(B20,0), " Years")</f>
        <v>274 Years</v>
      </c>
      <c r="C24" s="56" t="s">
        <v>25</v>
      </c>
      <c r="D24" s="57" t="str">
        <f>CONCATENATE(" ",ROUND(I3, 1), " °C ")</f>
        <v xml:space="preserve"> 92 °C </v>
      </c>
    </row>
    <row r="25" spans="1:7" ht="15" customHeight="1" thickBot="1">
      <c r="A25" s="58" t="s">
        <v>26</v>
      </c>
      <c r="B25" s="59" t="str">
        <f>CONCATENATE(B13," Years")</f>
        <v>10 Years</v>
      </c>
      <c r="C25" s="60" t="s">
        <v>27</v>
      </c>
      <c r="D25" s="61">
        <f xml:space="preserve"> LOGNORMDIST(B13*365*24,LN(B20*365*24),0.8)*2*1000000000/8760/B13</f>
        <v>0.39662272848310842</v>
      </c>
    </row>
    <row r="26" spans="1:7" ht="15" customHeight="1">
      <c r="A26" s="62" t="s">
        <v>28</v>
      </c>
      <c r="B26" s="63"/>
      <c r="C26" s="64"/>
      <c r="D26" s="65"/>
    </row>
    <row r="27" spans="1:7" ht="15" customHeight="1">
      <c r="A27" s="62" t="s">
        <v>29</v>
      </c>
      <c r="B27" s="63"/>
      <c r="C27" s="64"/>
      <c r="D27" s="65"/>
    </row>
    <row r="28" spans="1:7" ht="15" customHeight="1">
      <c r="A28" s="53" t="s">
        <v>30</v>
      </c>
      <c r="B28" s="63"/>
      <c r="C28" s="64"/>
      <c r="D28" s="65"/>
    </row>
    <row r="29" spans="1:7" ht="18" customHeight="1"/>
    <row r="30" spans="1:7" ht="18" customHeight="1">
      <c r="A30" s="25" t="str">
        <f>IF(G20&gt;K3, CONCATENATE("Case Temperature was modified to ",ROUND(I3, 1)," °C based on maximum die junction temperature allowed."),"")</f>
        <v/>
      </c>
      <c r="B30" s="26"/>
      <c r="C30" s="27"/>
      <c r="D30" s="27"/>
    </row>
    <row r="31" spans="1:7" ht="18" customHeight="1">
      <c r="A31" s="28" t="str">
        <f>IF(G20&gt;K3, "Better Heatsink, Cooling Systems or Operating conditions are Necessary to Reduce the Case Temperature","")</f>
        <v/>
      </c>
      <c r="B31" s="21"/>
      <c r="C31" s="21"/>
      <c r="D31" s="21"/>
      <c r="E31" s="29"/>
      <c r="F31" s="20" t="s">
        <v>0</v>
      </c>
    </row>
    <row r="32" spans="1:7" ht="15.75">
      <c r="A32" s="28"/>
      <c r="B32" s="30"/>
      <c r="C32" s="30"/>
      <c r="D32" s="30"/>
      <c r="E32" s="29"/>
      <c r="F32" s="20"/>
    </row>
    <row r="33" spans="1:6" ht="15.75">
      <c r="E33" s="29"/>
      <c r="F33" s="20"/>
    </row>
    <row r="34" spans="1:6" ht="15.75">
      <c r="E34" s="29"/>
      <c r="F34" s="20"/>
    </row>
    <row r="35" spans="1:6" ht="15.75">
      <c r="E35" s="29"/>
      <c r="F35" s="20"/>
    </row>
    <row r="36" spans="1:6" ht="15.75">
      <c r="E36" s="29"/>
      <c r="F36" s="20"/>
    </row>
    <row r="37" spans="1:6" ht="15.75">
      <c r="E37" s="29"/>
      <c r="F37" s="20"/>
    </row>
    <row r="38" spans="1:6" ht="15.75">
      <c r="E38" s="29"/>
      <c r="F38" s="20"/>
    </row>
    <row r="39" spans="1:6" ht="15.75">
      <c r="E39" s="29"/>
      <c r="F39" s="20"/>
    </row>
    <row r="40" spans="1:6" ht="15.75">
      <c r="E40" s="29"/>
      <c r="F40" s="20"/>
    </row>
    <row r="41" spans="1:6" ht="15.75">
      <c r="E41" s="29"/>
      <c r="F41" s="20"/>
    </row>
    <row r="42" spans="1:6" ht="15.75">
      <c r="A42" s="28"/>
      <c r="B42" s="21"/>
      <c r="C42" s="21"/>
      <c r="D42" s="21"/>
      <c r="E42" s="29"/>
      <c r="F42" s="20"/>
    </row>
    <row r="43" spans="1:6" ht="15.75">
      <c r="D43" s="21"/>
      <c r="E43" s="29"/>
      <c r="F43" s="20"/>
    </row>
    <row r="44" spans="1:6">
      <c r="D44" s="23"/>
    </row>
    <row r="45" spans="1:6" ht="15.75">
      <c r="D45" s="31"/>
    </row>
    <row r="46" spans="1:6" ht="15.75">
      <c r="D46" s="31"/>
    </row>
    <row r="48" spans="1:6" ht="15.75">
      <c r="D48" s="31"/>
    </row>
    <row r="49" spans="4:4" ht="15.75">
      <c r="D49" s="31"/>
    </row>
    <row r="51" spans="4:4" ht="15.75">
      <c r="D51" s="31"/>
    </row>
    <row r="52" spans="4:4" ht="15.75">
      <c r="D52" s="31"/>
    </row>
  </sheetData>
  <phoneticPr fontId="0" type="noConversion"/>
  <pageMargins left="0" right="0" top="1" bottom="1" header="0.5" footer="0.5"/>
  <pageSetup scale="61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2"/>
  <sheetViews>
    <sheetView zoomScaleNormal="100" workbookViewId="0">
      <selection activeCell="E32" sqref="E32"/>
    </sheetView>
  </sheetViews>
  <sheetFormatPr defaultRowHeight="12.75"/>
  <cols>
    <col min="1" max="1" width="38.5703125" style="2" customWidth="1"/>
    <col min="2" max="2" width="26.140625" style="2" customWidth="1"/>
    <col min="3" max="3" width="23.140625" style="2" customWidth="1"/>
    <col min="4" max="4" width="23.28515625" style="2" customWidth="1"/>
    <col min="5" max="5" width="3.85546875" style="3" customWidth="1"/>
    <col min="6" max="6" width="14.85546875" style="18" customWidth="1"/>
    <col min="7" max="7" width="23.7109375" style="18" customWidth="1"/>
    <col min="8" max="8" width="17.7109375" style="18" customWidth="1"/>
    <col min="9" max="9" width="13.5703125" style="18" customWidth="1"/>
    <col min="10" max="10" width="13.85546875" style="18" customWidth="1"/>
    <col min="11" max="11" width="26" style="18" customWidth="1"/>
    <col min="12" max="12" width="9.140625" style="8" customWidth="1"/>
    <col min="13" max="17" width="9.140625" style="9" customWidth="1"/>
    <col min="18" max="16384" width="9.140625" style="2"/>
  </cols>
  <sheetData>
    <row r="1" spans="1:11" ht="18" customHeight="1">
      <c r="A1" s="1" t="str">
        <f>CONCATENATE("Electromigration MTTF Calculations for Device ",G1,", Rev0")</f>
        <v>Electromigration MTTF Calculations for Device AFT18S230S_50W, Rev0</v>
      </c>
      <c r="F1" s="4" t="s">
        <v>31</v>
      </c>
      <c r="G1" s="5" t="s">
        <v>35</v>
      </c>
      <c r="H1" s="6" t="s">
        <v>1</v>
      </c>
      <c r="I1" s="7"/>
      <c r="J1" s="7"/>
      <c r="K1" s="7"/>
    </row>
    <row r="2" spans="1:11" ht="15" customHeight="1">
      <c r="A2" s="32" t="s">
        <v>2</v>
      </c>
      <c r="B2" s="33"/>
      <c r="C2" s="33"/>
      <c r="D2" s="33"/>
      <c r="F2" s="4" t="s">
        <v>32</v>
      </c>
      <c r="G2" s="5">
        <v>6547.5</v>
      </c>
      <c r="H2" s="4" t="s">
        <v>3</v>
      </c>
      <c r="I2" s="4" t="s">
        <v>4</v>
      </c>
      <c r="J2" s="4" t="s">
        <v>5</v>
      </c>
      <c r="K2" s="4" t="s">
        <v>6</v>
      </c>
    </row>
    <row r="3" spans="1:11" ht="15" customHeight="1">
      <c r="A3" s="32" t="s">
        <v>36</v>
      </c>
      <c r="B3" s="33"/>
      <c r="C3" s="33"/>
      <c r="D3" s="33"/>
      <c r="F3" s="4" t="s">
        <v>9</v>
      </c>
      <c r="G3" s="5">
        <v>28</v>
      </c>
      <c r="H3" s="10" t="s">
        <v>7</v>
      </c>
      <c r="I3" s="11">
        <f>IF(G20&gt;K3, B8-(G20-K3  ),  B8)</f>
        <v>80</v>
      </c>
      <c r="J3" s="4">
        <v>0</v>
      </c>
      <c r="K3" s="12">
        <v>225</v>
      </c>
    </row>
    <row r="4" spans="1:11" ht="15" customHeight="1">
      <c r="A4" s="33" t="s">
        <v>8</v>
      </c>
      <c r="B4" s="33"/>
      <c r="C4" s="33"/>
      <c r="D4" s="33"/>
      <c r="F4" s="4" t="s">
        <v>10</v>
      </c>
      <c r="G4" s="13">
        <f>G18</f>
        <v>6.6383430695698351</v>
      </c>
      <c r="H4" s="10" t="s">
        <v>9</v>
      </c>
      <c r="I4" s="14">
        <f>IF(B9&lt;J4,J4,IF(B9&gt;K4,K4,B9))</f>
        <v>28</v>
      </c>
      <c r="J4" s="4">
        <v>9</v>
      </c>
      <c r="K4" s="4">
        <v>60</v>
      </c>
    </row>
    <row r="5" spans="1:11" ht="15" customHeight="1">
      <c r="A5" s="33" t="s">
        <v>0</v>
      </c>
      <c r="B5" s="33"/>
      <c r="C5" s="33"/>
      <c r="D5" s="33"/>
      <c r="F5" s="4" t="s">
        <v>12</v>
      </c>
      <c r="G5" s="66">
        <v>0.81</v>
      </c>
      <c r="H5" s="15" t="s">
        <v>10</v>
      </c>
      <c r="I5" s="14">
        <f>IF(B10&lt;J5,J5,IF(B10&gt;K5,K5,B10))</f>
        <v>6.6383430695698351</v>
      </c>
      <c r="J5" s="16">
        <v>1E-3</v>
      </c>
      <c r="K5" s="4">
        <v>35</v>
      </c>
    </row>
    <row r="6" spans="1:11" ht="15" customHeight="1">
      <c r="A6" s="32" t="s">
        <v>11</v>
      </c>
      <c r="B6" s="33"/>
      <c r="C6" s="33"/>
      <c r="D6" s="33"/>
      <c r="F6" s="4" t="s">
        <v>14</v>
      </c>
      <c r="G6" s="5">
        <v>50</v>
      </c>
      <c r="H6" s="10" t="s">
        <v>12</v>
      </c>
      <c r="I6" s="4">
        <f>IF(B11&lt;J6,J6,IF(B11&gt;K6,K6,B11))</f>
        <v>0.81</v>
      </c>
      <c r="J6" s="17">
        <v>0</v>
      </c>
      <c r="K6" s="4">
        <v>15</v>
      </c>
    </row>
    <row r="7" spans="1:11" ht="15" customHeight="1">
      <c r="A7" s="34" t="s">
        <v>3</v>
      </c>
      <c r="B7" s="34" t="s">
        <v>4</v>
      </c>
      <c r="C7" s="34" t="s">
        <v>5</v>
      </c>
      <c r="D7" s="34" t="s">
        <v>13</v>
      </c>
      <c r="F7" s="10" t="s">
        <v>37</v>
      </c>
      <c r="G7" s="5">
        <v>0.41</v>
      </c>
      <c r="H7" s="10" t="s">
        <v>14</v>
      </c>
      <c r="I7" s="4">
        <f>IF(B12&lt;J7,J7,IF(B12&gt;K7,K7,B12))</f>
        <v>50</v>
      </c>
      <c r="J7" s="17">
        <v>0</v>
      </c>
      <c r="K7" s="4">
        <v>1500</v>
      </c>
    </row>
    <row r="8" spans="1:11" ht="15" customHeight="1">
      <c r="A8" s="34" t="s">
        <v>7</v>
      </c>
      <c r="B8" s="35">
        <f>G11</f>
        <v>80</v>
      </c>
      <c r="C8" s="36" t="str">
        <f>IF(B8&lt;J3, CONCATENATE("Tcase under limit! ",J3,"°C "),CONCATENATE(J3,"°C "))</f>
        <v xml:space="preserve">0°C </v>
      </c>
      <c r="D8" s="37" t="str">
        <f>IF(B8&gt;150, CONCATENATE("Warning Tcase OVER 150°C! "),CONCATENATE("150°C "))</f>
        <v xml:space="preserve">150°C </v>
      </c>
      <c r="F8" s="10" t="s">
        <v>38</v>
      </c>
      <c r="G8" s="5">
        <f>G16</f>
        <v>0.36899999999999999</v>
      </c>
      <c r="H8" s="10" t="s">
        <v>15</v>
      </c>
      <c r="I8" s="4">
        <f>IF(B13&lt;J8,J8,IF(B13&gt;K8,K8,B13))</f>
        <v>10</v>
      </c>
      <c r="J8" s="17">
        <v>7</v>
      </c>
      <c r="K8" s="4">
        <v>30</v>
      </c>
    </row>
    <row r="9" spans="1:11" ht="15" customHeight="1">
      <c r="A9" s="34" t="s">
        <v>9</v>
      </c>
      <c r="B9" s="35">
        <f>G3</f>
        <v>28</v>
      </c>
      <c r="C9" s="36" t="str">
        <f>IF(B9&lt;J4, CONCATENATE("Vdd lnder limit! ",J4,"V "),CONCATENATE(J4,"V"))</f>
        <v>9V</v>
      </c>
      <c r="D9" s="36" t="str">
        <f>IF(B9&gt;K4, CONCATENATE("Vdd over limit! ",K4,"V "),CONCATENATE(K4,"V"))</f>
        <v>60V</v>
      </c>
      <c r="F9" s="10" t="s">
        <v>39</v>
      </c>
      <c r="G9" s="5">
        <f>H16</f>
        <v>0.45100000000000001</v>
      </c>
      <c r="H9" s="10" t="s">
        <v>40</v>
      </c>
      <c r="I9" s="4">
        <f>IF(B16&lt;J9,J9,IF(B16&gt;K9,K9,B16))</f>
        <v>0.41</v>
      </c>
      <c r="J9" s="4">
        <f>G8</f>
        <v>0.36899999999999999</v>
      </c>
      <c r="K9" s="4">
        <f>G9</f>
        <v>0.45100000000000001</v>
      </c>
    </row>
    <row r="10" spans="1:11" ht="15" customHeight="1">
      <c r="A10" s="34" t="s">
        <v>10</v>
      </c>
      <c r="B10" s="35">
        <f>G4</f>
        <v>6.6383430695698351</v>
      </c>
      <c r="C10" s="36" t="str">
        <f>IF(B10&lt;J5, CONCATENATE("Id3 under limit! ",J5,"A "),CONCATENATE(J5,"A"))</f>
        <v>0.001A</v>
      </c>
      <c r="D10" s="36" t="str">
        <f>IF(B10&gt;K5, CONCATENATE("Vdd over limit! ",K5,"A "),CONCATENATE(K5,"A"))</f>
        <v>35A</v>
      </c>
      <c r="F10" s="4" t="s">
        <v>33</v>
      </c>
      <c r="G10" s="5">
        <v>150</v>
      </c>
    </row>
    <row r="11" spans="1:11" ht="15" customHeight="1">
      <c r="A11" s="34" t="s">
        <v>12</v>
      </c>
      <c r="B11" s="35">
        <f>G5</f>
        <v>0.81</v>
      </c>
      <c r="C11" s="36" t="str">
        <f>IF(B11&lt;J6, CONCATENATE("Vdd under limit! ",J6,"W "),CONCATENATE(J6,"W"))</f>
        <v>0W</v>
      </c>
      <c r="D11" s="36" t="str">
        <f>IF(B11&gt;K6, CONCATENATE("Vdd over limit! ",K6,"W "),CONCATENATE(K6,"W"))</f>
        <v>15W</v>
      </c>
      <c r="F11" s="4" t="s">
        <v>7</v>
      </c>
      <c r="G11" s="13">
        <v>80</v>
      </c>
    </row>
    <row r="12" spans="1:11" ht="15" customHeight="1">
      <c r="A12" s="34" t="s">
        <v>14</v>
      </c>
      <c r="B12" s="35">
        <f>G6</f>
        <v>50</v>
      </c>
      <c r="C12" s="36" t="str">
        <f>IF(B12&lt;J7, CONCATENATE("Vdd under limit! ",J7,"W "),CONCATENATE(J7,"W"))</f>
        <v>0W</v>
      </c>
      <c r="D12" s="36" t="str">
        <f>IF(B12&gt;K7, CONCATENATE("Vdd over limit! ",K7,"W"),CONCATENATE(K7,"W"))</f>
        <v>1500W</v>
      </c>
      <c r="E12" s="19"/>
      <c r="F12" s="10"/>
      <c r="G12" s="13"/>
    </row>
    <row r="13" spans="1:11" ht="15" customHeight="1">
      <c r="A13" s="34" t="s">
        <v>15</v>
      </c>
      <c r="B13" s="34">
        <v>10</v>
      </c>
      <c r="C13" s="36" t="str">
        <f>IF(B13&lt;J8, CONCATENATE("Vdd under limit! ",J8,"yrs "),CONCATENATE(J8,"yrs"))</f>
        <v>7yrs</v>
      </c>
      <c r="D13" s="36" t="str">
        <f>IF(B13&gt;K8, CONCATENATE("Vdd over limit! ",K8,"yrs"),CONCATENATE(K8,"yrs"))</f>
        <v>30yrs</v>
      </c>
      <c r="E13" s="19"/>
      <c r="F13" s="20"/>
    </row>
    <row r="14" spans="1:11" ht="15" customHeight="1">
      <c r="A14" s="38"/>
      <c r="B14" s="39"/>
      <c r="C14" s="40"/>
      <c r="D14" s="40"/>
      <c r="E14" s="19"/>
      <c r="F14" s="20"/>
    </row>
    <row r="15" spans="1:11" ht="15" customHeight="1">
      <c r="A15" s="32" t="s">
        <v>16</v>
      </c>
      <c r="B15" s="39"/>
      <c r="C15" s="41"/>
      <c r="D15" s="41"/>
      <c r="E15" s="19"/>
      <c r="F15" s="20"/>
    </row>
    <row r="16" spans="1:11" ht="15" customHeight="1">
      <c r="A16" s="42" t="s">
        <v>40</v>
      </c>
      <c r="B16" s="43">
        <f>G7</f>
        <v>0.41</v>
      </c>
      <c r="C16" s="33"/>
      <c r="D16" s="33"/>
      <c r="E16" s="19"/>
      <c r="F16" s="20"/>
      <c r="G16" s="5">
        <f>0.9*G7</f>
        <v>0.36899999999999999</v>
      </c>
      <c r="H16" s="5">
        <f>1.1*G7</f>
        <v>0.45100000000000001</v>
      </c>
      <c r="I16" s="5"/>
      <c r="J16" s="4" t="str">
        <f>IF(B16&lt;J9, CONCATENATE("Under limit! ",J9,"°C/W "),CONCATENATE(J9," °C/W"))</f>
        <v>0.369 °C/W</v>
      </c>
      <c r="K16" s="4" t="str">
        <f>IF(B16&gt;K9, CONCATENATE("Over limit! ",K9,"°C/W"),CONCATENATE(K9,"°C/W"))</f>
        <v>0.451°C/W</v>
      </c>
    </row>
    <row r="17" spans="1:7" ht="15" customHeight="1">
      <c r="A17" s="38"/>
      <c r="B17" s="44"/>
      <c r="C17" s="45"/>
      <c r="D17" s="45"/>
      <c r="E17" s="19"/>
      <c r="F17" s="20"/>
    </row>
    <row r="18" spans="1:7" ht="15" customHeight="1">
      <c r="A18" s="46" t="s">
        <v>17</v>
      </c>
      <c r="B18" s="47"/>
      <c r="C18" s="47"/>
      <c r="D18" s="40"/>
      <c r="E18" s="19"/>
      <c r="F18" s="20"/>
      <c r="G18" s="13">
        <f>G6/G3/0.269</f>
        <v>6.6383430695698351</v>
      </c>
    </row>
    <row r="19" spans="1:7" ht="15" customHeight="1">
      <c r="A19" s="36" t="str">
        <f>CONCATENATE("When Tcase Temp = ", ROUND(I3, 1), "°C")</f>
        <v>When Tcase Temp = 80°C</v>
      </c>
      <c r="B19" s="36" t="s">
        <v>18</v>
      </c>
      <c r="C19" s="36" t="s">
        <v>19</v>
      </c>
      <c r="D19" s="36" t="str">
        <f>IF(G20&gt;K3,CONCATENATE("If Tcase Temp = ", B8, "°C"),"Stage Over Temp?")</f>
        <v>Stage Over Temp?</v>
      </c>
      <c r="G19" s="13">
        <f>10*LOG(G6/G5)</f>
        <v>17.90484985457369</v>
      </c>
    </row>
    <row r="20" spans="1:7" ht="15" customHeight="1">
      <c r="A20" s="40" t="s">
        <v>20</v>
      </c>
      <c r="B20" s="48">
        <f>152000/(100000000*I5/G2)^2*EXP(0.66/0.0000863/(273+I3+I9*(I4*I5+I6-I7)))</f>
        <v>1948.8939655568422</v>
      </c>
      <c r="C20" s="49">
        <f>I3+I9*(I4*I5+I6-I7)</f>
        <v>136.04027843866169</v>
      </c>
      <c r="D20" s="37" t="str">
        <f>IF(B8+I9*(I4*I5+I6-I7)&gt;K3, CONCATENATE(ROUND(B8+I9*(I4*I5+I6-I7)-K3,0),"°C ","Over Tj max."), "None")</f>
        <v>None</v>
      </c>
      <c r="G20" s="22"/>
    </row>
    <row r="21" spans="1:7" ht="15" customHeight="1">
      <c r="A21" s="36" t="s">
        <v>21</v>
      </c>
      <c r="B21" s="50" t="s">
        <v>22</v>
      </c>
      <c r="C21" s="50" t="str">
        <f>CONCATENATE("Tj max Allowed ",K3, " °C ")</f>
        <v xml:space="preserve">Tj max Allowed 225 °C </v>
      </c>
      <c r="D21" s="50" t="str">
        <f>CONCATENATE("Tj max Allowed ",K3, " °C ")</f>
        <v xml:space="preserve">Tj max Allowed 225 °C </v>
      </c>
      <c r="F21" s="20"/>
      <c r="G21" s="5"/>
    </row>
    <row r="22" spans="1:7" ht="15" customHeight="1">
      <c r="A22" s="40" t="s">
        <v>0</v>
      </c>
      <c r="B22" s="51"/>
      <c r="C22" s="33"/>
      <c r="D22" s="40"/>
      <c r="E22" s="24" t="s">
        <v>0</v>
      </c>
      <c r="F22" s="20"/>
    </row>
    <row r="23" spans="1:7" ht="15" customHeight="1" thickBot="1">
      <c r="A23" s="52" t="s">
        <v>23</v>
      </c>
      <c r="B23" s="53"/>
      <c r="C23" s="53"/>
      <c r="D23" s="53"/>
      <c r="E23" s="19"/>
      <c r="F23" s="20"/>
    </row>
    <row r="24" spans="1:7" ht="15" customHeight="1">
      <c r="A24" s="54" t="s">
        <v>24</v>
      </c>
      <c r="B24" s="55" t="str">
        <f>CONCATENATE(ROUND(B20,0), " Years")</f>
        <v>1949 Years</v>
      </c>
      <c r="C24" s="56" t="s">
        <v>25</v>
      </c>
      <c r="D24" s="57" t="str">
        <f>CONCATENATE(" ",ROUND(I3, 1), " °C ")</f>
        <v xml:space="preserve"> 80 °C </v>
      </c>
    </row>
    <row r="25" spans="1:7" ht="15" customHeight="1" thickBot="1">
      <c r="A25" s="58" t="s">
        <v>26</v>
      </c>
      <c r="B25" s="59" t="str">
        <f>CONCATENATE(B13," Years")</f>
        <v>10 Years</v>
      </c>
      <c r="C25" s="60" t="s">
        <v>27</v>
      </c>
      <c r="D25" s="61">
        <f xml:space="preserve"> LOGNORMDIST(B13*365*24,LN(B20*365*24),0.8)*2*1000000000/8760/B13</f>
        <v>5.0026137858157725E-7</v>
      </c>
    </row>
    <row r="26" spans="1:7" ht="15" customHeight="1">
      <c r="A26" s="62" t="s">
        <v>28</v>
      </c>
      <c r="B26" s="63"/>
      <c r="C26" s="64"/>
      <c r="D26" s="65"/>
    </row>
    <row r="27" spans="1:7" ht="15" customHeight="1">
      <c r="A27" s="62" t="s">
        <v>29</v>
      </c>
      <c r="B27" s="63"/>
      <c r="C27" s="64"/>
      <c r="D27" s="65"/>
    </row>
    <row r="28" spans="1:7" ht="15" customHeight="1">
      <c r="A28" s="53" t="s">
        <v>30</v>
      </c>
      <c r="B28" s="63"/>
      <c r="C28" s="64"/>
      <c r="D28" s="65"/>
    </row>
    <row r="29" spans="1:7" ht="18" customHeight="1"/>
    <row r="30" spans="1:7" ht="18" customHeight="1">
      <c r="A30" s="25" t="str">
        <f>IF(G20&gt;K3, CONCATENATE("Case Temperature was modified to ",ROUND(I3, 1)," °C based on maximum die junction temperature allowed."),"")</f>
        <v/>
      </c>
      <c r="B30" s="26"/>
      <c r="C30" s="27"/>
      <c r="D30" s="27"/>
    </row>
    <row r="31" spans="1:7" ht="18" customHeight="1">
      <c r="A31" s="28" t="str">
        <f>IF(G20&gt;K3, "Better Heatsink, Cooling Systems or Operating conditions are Necessary to Reduce the Case Temperature","")</f>
        <v/>
      </c>
      <c r="B31" s="21"/>
      <c r="C31" s="21"/>
      <c r="D31" s="21"/>
      <c r="E31" s="29"/>
      <c r="F31" s="20" t="s">
        <v>0</v>
      </c>
    </row>
    <row r="32" spans="1:7" ht="15.75">
      <c r="A32" s="28"/>
      <c r="B32" s="30"/>
      <c r="C32" s="30"/>
      <c r="D32" s="30"/>
      <c r="E32" s="29"/>
      <c r="F32" s="20"/>
    </row>
    <row r="33" spans="1:6" ht="15.75">
      <c r="E33" s="29"/>
      <c r="F33" s="20"/>
    </row>
    <row r="34" spans="1:6" ht="15.75">
      <c r="E34" s="29"/>
      <c r="F34" s="20"/>
    </row>
    <row r="35" spans="1:6" ht="15.75">
      <c r="E35" s="29"/>
      <c r="F35" s="20"/>
    </row>
    <row r="36" spans="1:6" ht="15.75">
      <c r="E36" s="29"/>
      <c r="F36" s="20"/>
    </row>
    <row r="37" spans="1:6" ht="15.75">
      <c r="E37" s="29"/>
      <c r="F37" s="20"/>
    </row>
    <row r="38" spans="1:6" ht="15.75">
      <c r="E38" s="29"/>
      <c r="F38" s="20"/>
    </row>
    <row r="39" spans="1:6" ht="15.75">
      <c r="E39" s="29"/>
      <c r="F39" s="20"/>
    </row>
    <row r="40" spans="1:6" ht="15.75">
      <c r="E40" s="29"/>
      <c r="F40" s="20"/>
    </row>
    <row r="41" spans="1:6" ht="15.75">
      <c r="E41" s="29"/>
      <c r="F41" s="20"/>
    </row>
    <row r="42" spans="1:6" ht="15.75">
      <c r="A42" s="28"/>
      <c r="B42" s="21"/>
      <c r="C42" s="21"/>
      <c r="D42" s="21"/>
      <c r="E42" s="29"/>
      <c r="F42" s="20"/>
    </row>
    <row r="43" spans="1:6" ht="15.75">
      <c r="D43" s="21"/>
      <c r="E43" s="29"/>
      <c r="F43" s="20"/>
    </row>
    <row r="44" spans="1:6">
      <c r="D44" s="23"/>
    </row>
    <row r="45" spans="1:6" ht="15.75">
      <c r="D45" s="31"/>
    </row>
    <row r="46" spans="1:6" ht="15.75">
      <c r="D46" s="31"/>
    </row>
    <row r="48" spans="1:6" ht="15.75">
      <c r="D48" s="31"/>
    </row>
    <row r="49" spans="4:4" ht="15.75">
      <c r="D49" s="31"/>
    </row>
    <row r="51" spans="4:4" ht="15.75">
      <c r="D51" s="31"/>
    </row>
    <row r="52" spans="4:4" ht="15.75">
      <c r="D52" s="31"/>
    </row>
  </sheetData>
  <phoneticPr fontId="1" type="noConversion"/>
  <pageMargins left="0.25" right="0.25" top="1" bottom="1" header="0.5" footer="0.5"/>
  <pageSetup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The Program</vt:lpstr>
      <vt:lpstr>CW_160W</vt:lpstr>
      <vt:lpstr>CW_50W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Electromigration MTTF Calculation Program</dc:title>
  <dc:creator>Freescale Semiconductors, Inc</dc:creator>
  <cp:keywords>MTTF, calculator</cp:keywords>
  <cp:lastModifiedBy>Ric Watkins</cp:lastModifiedBy>
  <cp:lastPrinted>2009-11-03T18:11:03Z</cp:lastPrinted>
  <dcterms:created xsi:type="dcterms:W3CDTF">2002-11-13T17:41:12Z</dcterms:created>
  <dcterms:modified xsi:type="dcterms:W3CDTF">2012-08-18T02:29:16Z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779095711</vt:i4>
  </property>
  <property fmtid="{D5CDD505-2E9C-101B-9397-08002B2CF9AE}" pid="3" name="_EmailSubject">
    <vt:lpwstr>spreadsheet for HV4IC MTTF</vt:lpwstr>
  </property>
  <property fmtid="{D5CDD505-2E9C-101B-9397-08002B2CF9AE}" pid="4" name="_AuthorEmail">
    <vt:lpwstr>Wayne.Burger@motorola.com</vt:lpwstr>
  </property>
  <property fmtid="{D5CDD505-2E9C-101B-9397-08002B2CF9AE}" pid="5" name="_AuthorEmailDisplayName">
    <vt:lpwstr>Burger Wayne-rxzj40</vt:lpwstr>
  </property>
  <property fmtid="{D5CDD505-2E9C-101B-9397-08002B2CF9AE}" pid="6" name="_ReviewingToolsShownOnce">
    <vt:lpwstr/>
  </property>
</Properties>
</file>