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/>
  <mc:AlternateContent xmlns:mc="http://schemas.openxmlformats.org/markup-compatibility/2006">
    <mc:Choice Requires="x15">
      <x15ac:absPath xmlns:x15ac="http://schemas.microsoft.com/office/spreadsheetml/2010/11/ac" url="C:\DATA_work\aaRicFiles\aFreescale_newWebLook\aRF_Power\MTTF_calc\aNew_MTTF\"/>
    </mc:Choice>
  </mc:AlternateContent>
  <bookViews>
    <workbookView xWindow="11352" yWindow="1848" windowWidth="23376" windowHeight="9900" tabRatio="903"/>
  </bookViews>
  <sheets>
    <sheet name="The Program" sheetId="2" r:id="rId1"/>
    <sheet name=" 4W Stage 1" sheetId="3" r:id="rId2"/>
    <sheet name=" 4W Stage 2" sheetId="4" r:id="rId3"/>
    <sheet name="34W Stage 1" sheetId="5" r:id="rId4"/>
    <sheet name=" 34W Stage 2" sheetId="6" r:id="rId5"/>
  </sheets>
  <calcPr calcId="171027"/>
</workbook>
</file>

<file path=xl/calcChain.xml><?xml version="1.0" encoding="utf-8"?>
<calcChain xmlns="http://schemas.openxmlformats.org/spreadsheetml/2006/main">
  <c r="C21" i="5" l="1"/>
  <c r="D21" i="5"/>
  <c r="C21" i="6"/>
  <c r="D21" i="6"/>
  <c r="D21" i="4"/>
  <c r="C21" i="4"/>
  <c r="C21" i="3"/>
  <c r="D21" i="3"/>
  <c r="D13" i="3" l="1"/>
  <c r="B25" i="6" l="1"/>
  <c r="B16" i="6"/>
  <c r="D13" i="6"/>
  <c r="C13" i="6"/>
  <c r="B12" i="6"/>
  <c r="C12" i="6" s="1"/>
  <c r="B11" i="6"/>
  <c r="C11" i="6" s="1"/>
  <c r="B10" i="6"/>
  <c r="K9" i="6"/>
  <c r="J9" i="6"/>
  <c r="B9" i="6"/>
  <c r="C9" i="6" s="1"/>
  <c r="I8" i="6"/>
  <c r="B8" i="6"/>
  <c r="K7" i="6"/>
  <c r="I7" i="6" s="1"/>
  <c r="K6" i="6"/>
  <c r="D11" i="6" s="1"/>
  <c r="K5" i="6"/>
  <c r="I5" i="6" s="1"/>
  <c r="K3" i="6"/>
  <c r="A1" i="6"/>
  <c r="B25" i="5"/>
  <c r="B16" i="5"/>
  <c r="D13" i="5"/>
  <c r="C13" i="5"/>
  <c r="B12" i="5"/>
  <c r="C12" i="5" s="1"/>
  <c r="B11" i="5"/>
  <c r="C11" i="5" s="1"/>
  <c r="C10" i="5"/>
  <c r="B10" i="5"/>
  <c r="K9" i="5"/>
  <c r="J9" i="5"/>
  <c r="J16" i="5" s="1"/>
  <c r="B9" i="5"/>
  <c r="C9" i="5" s="1"/>
  <c r="I8" i="5"/>
  <c r="B8" i="5"/>
  <c r="K7" i="5"/>
  <c r="K6" i="5"/>
  <c r="I6" i="5" s="1"/>
  <c r="K5" i="5"/>
  <c r="I5" i="5" s="1"/>
  <c r="K3" i="5"/>
  <c r="A1" i="5"/>
  <c r="B25" i="4"/>
  <c r="B16" i="4"/>
  <c r="D13" i="4"/>
  <c r="C13" i="4"/>
  <c r="B12" i="4"/>
  <c r="C12" i="4" s="1"/>
  <c r="B11" i="4"/>
  <c r="C11" i="4" s="1"/>
  <c r="B10" i="4"/>
  <c r="K9" i="4"/>
  <c r="J9" i="4"/>
  <c r="I9" i="4" s="1"/>
  <c r="B9" i="4"/>
  <c r="C9" i="4" s="1"/>
  <c r="I8" i="4"/>
  <c r="B8" i="4"/>
  <c r="K7" i="4"/>
  <c r="K6" i="4"/>
  <c r="K5" i="4"/>
  <c r="K3" i="4"/>
  <c r="A1" i="4"/>
  <c r="I9" i="5" l="1"/>
  <c r="D8" i="5"/>
  <c r="K16" i="5"/>
  <c r="D9" i="4"/>
  <c r="D8" i="4"/>
  <c r="K16" i="4"/>
  <c r="I9" i="6"/>
  <c r="I6" i="6"/>
  <c r="D8" i="6"/>
  <c r="J16" i="6"/>
  <c r="K16" i="6"/>
  <c r="D9" i="5"/>
  <c r="J16" i="4"/>
  <c r="I6" i="4"/>
  <c r="D10" i="4"/>
  <c r="D9" i="6"/>
  <c r="D10" i="6"/>
  <c r="D12" i="6"/>
  <c r="D10" i="5"/>
  <c r="D11" i="5"/>
  <c r="D12" i="5"/>
  <c r="D12" i="4"/>
  <c r="D11" i="4"/>
  <c r="I5" i="4"/>
  <c r="I7" i="4"/>
  <c r="C10" i="6"/>
  <c r="I4" i="6"/>
  <c r="C8" i="6"/>
  <c r="I7" i="5"/>
  <c r="I4" i="5"/>
  <c r="C8" i="5"/>
  <c r="C10" i="4"/>
  <c r="I4" i="4"/>
  <c r="C8" i="4"/>
  <c r="A1" i="3"/>
  <c r="B8" i="3"/>
  <c r="B16" i="3"/>
  <c r="B12" i="3"/>
  <c r="G20" i="5" l="1"/>
  <c r="D19" i="5" s="1"/>
  <c r="D20" i="4"/>
  <c r="G20" i="6"/>
  <c r="D19" i="6" s="1"/>
  <c r="D20" i="5"/>
  <c r="G20" i="4"/>
  <c r="I3" i="4" s="1"/>
  <c r="D20" i="6"/>
  <c r="A31" i="6"/>
  <c r="A30" i="6"/>
  <c r="A31" i="5"/>
  <c r="A30" i="5"/>
  <c r="A30" i="4"/>
  <c r="K7" i="3"/>
  <c r="D12" i="3" s="1"/>
  <c r="K6" i="3"/>
  <c r="K5" i="3"/>
  <c r="I3" i="5" l="1"/>
  <c r="D19" i="4"/>
  <c r="I3" i="6"/>
  <c r="D24" i="6" s="1"/>
  <c r="A31" i="4"/>
  <c r="D24" i="5"/>
  <c r="A19" i="5"/>
  <c r="C20" i="5"/>
  <c r="B20" i="5"/>
  <c r="D24" i="4"/>
  <c r="C20" i="4"/>
  <c r="A19" i="4"/>
  <c r="B20" i="4"/>
  <c r="C8" i="3"/>
  <c r="J9" i="3"/>
  <c r="K9" i="3"/>
  <c r="B9" i="3"/>
  <c r="D9" i="3" s="1"/>
  <c r="B10" i="3"/>
  <c r="B11" i="3"/>
  <c r="K3" i="3"/>
  <c r="B25" i="3"/>
  <c r="C13" i="3"/>
  <c r="I8" i="3"/>
  <c r="B20" i="6" l="1"/>
  <c r="A19" i="6"/>
  <c r="C20" i="6"/>
  <c r="C9" i="3"/>
  <c r="C11" i="3"/>
  <c r="D11" i="3"/>
  <c r="C10" i="3"/>
  <c r="D10" i="3"/>
  <c r="D25" i="6"/>
  <c r="B24" i="6"/>
  <c r="B24" i="5"/>
  <c r="D25" i="5"/>
  <c r="D25" i="4"/>
  <c r="B24" i="4"/>
  <c r="I4" i="3"/>
  <c r="I9" i="3"/>
  <c r="J16" i="3"/>
  <c r="C12" i="3"/>
  <c r="D8" i="3"/>
  <c r="I6" i="3"/>
  <c r="K16" i="3"/>
  <c r="I7" i="3"/>
  <c r="I5" i="3"/>
  <c r="D20" i="3" l="1"/>
  <c r="G20" i="3"/>
  <c r="I3" i="3" s="1"/>
  <c r="B20" i="3" s="1"/>
  <c r="D19" i="3" l="1"/>
  <c r="A31" i="3"/>
  <c r="A30" i="3" l="1"/>
  <c r="C20" i="3"/>
  <c r="A19" i="3"/>
  <c r="D24" i="3"/>
  <c r="D25" i="3" l="1"/>
  <c r="B24" i="3"/>
</calcChain>
</file>

<file path=xl/sharedStrings.xml><?xml version="1.0" encoding="utf-8"?>
<sst xmlns="http://schemas.openxmlformats.org/spreadsheetml/2006/main" count="244" uniqueCount="46">
  <si>
    <t xml:space="preserve"> </t>
  </si>
  <si>
    <t>Table 5. Input &amp; Device Variables used for Electromigration MTTF calculation</t>
  </si>
  <si>
    <t>Input Category</t>
  </si>
  <si>
    <t>Input Variables</t>
  </si>
  <si>
    <t>Input lower limit</t>
  </si>
  <si>
    <t>Input Upper limit</t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</si>
  <si>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</si>
  <si>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</si>
  <si>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</si>
  <si>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</si>
  <si>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</si>
  <si>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</si>
  <si>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</si>
  <si>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</si>
  <si>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</si>
  <si>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</si>
  <si>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t>Table 3. Stage Status</t>
  </si>
  <si>
    <t>Electromigration MTTF (yrs)</t>
  </si>
  <si>
    <t>Stage Temperature (°C)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</si>
  <si>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</si>
  <si>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</si>
  <si>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</si>
  <si>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</si>
  <si>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</si>
  <si>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</si>
  <si>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</si>
  <si>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</si>
  <si>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Device</t>
  </si>
  <si>
    <t>Stage1_Par</t>
  </si>
  <si>
    <t>Tcase (°C) U</t>
  </si>
  <si>
    <t xml:space="preserve">Fjc1 (°C/W)  </t>
  </si>
  <si>
    <t>Fjc1 (°C/W)L</t>
  </si>
  <si>
    <t>Fjc1 (°C/W)U</t>
  </si>
  <si>
    <t>Fjc1 (°C/W)</t>
  </si>
  <si>
    <t>Duty Cycle(%)</t>
  </si>
  <si>
    <t>Input Variables Tcase, Vdd, Id1, Pin, Pout &amp; System target life</t>
  </si>
  <si>
    <t>System target life (yrs)</t>
  </si>
  <si>
    <t xml:space="preserve">When System target life is </t>
  </si>
  <si>
    <t>This approach will result in a more accurate and meaningful estimate of the FIT rate over the System life.</t>
  </si>
  <si>
    <t>Stage2 Status</t>
  </si>
  <si>
    <t>Stage1 Status</t>
  </si>
  <si>
    <t>Tj max</t>
  </si>
  <si>
    <t>A2I09VD030N</t>
  </si>
  <si>
    <t>Device Variables, Fjc1</t>
  </si>
  <si>
    <t>Device Variables, Fjc2</t>
  </si>
  <si>
    <t>Fjc2 (°C/W)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</si>
</sst>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0"/>
    <numFmt numFmtId="167" formatCode="0.0000"/>
    <numFmt numFmtId="168" formatCode="0.0E+00"/>
  </numFmts>
  <fonts count="12">
    <font>
      <sz val="10"/>
      <name val="Geneva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64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1" fillId="0" borderId="0" xfId="0" applyFont="1"/>
    <xf numFmtId="167" fontId="3" fillId="0" borderId="0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7" fillId="0" borderId="0" xfId="0" applyNumberFormat="1" applyFont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168" fontId="1" fillId="2" borderId="7" xfId="0" quotePrefix="1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1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45</xdr:row>
      <xdr:rowOff>123825</xdr:rowOff>
    </xdr:from>
    <xdr:to>
      <xdr:col>9</xdr:col>
      <xdr:colOff>104775</xdr:colOff>
      <xdr:row>57</xdr:row>
      <xdr:rowOff>85725</xdr:rowOff>
    </xdr:to>
    <xdr:pic>
      <xdr:nvPicPr>
        <xdr:cNvPr id="1035" name="Picture 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410450"/>
          <a:ext cx="5505450" cy="1905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23811</xdr:rowOff>
    </xdr:from>
    <xdr:to>
      <xdr:col>10</xdr:col>
      <xdr:colOff>40581</xdr:colOff>
      <xdr:row>60</xdr:row>
      <xdr:rowOff>29988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20AEBA-507A-43D8-A74C-5E52E50AC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1"/>
          <a:ext cx="6152456" cy="9531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20" zoomScaleNormal="120" workbookViewId="0">
      <selection activeCell="L7" sqref="L7"/>
    </sheetView>
  </sheetViews>
  <sheetFormatPr defaultRowHeight="13.2"/>
  <sheetData/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70" zoomScaleNormal="70" workbookViewId="0">
      <selection activeCell="E17" sqref="E17"/>
    </sheetView>
  </sheetViews>
  <sheetFormatPr defaultRowHeight="14.4"/>
  <cols>
    <col min="1" max="1" width="38.5546875" style="7" customWidth="1"/>
    <col min="2" max="2" width="26.109375" style="7" customWidth="1"/>
    <col min="3" max="3" width="23.109375" style="7" customWidth="1"/>
    <col min="4" max="4" width="34.5546875" style="7" customWidth="1"/>
    <col min="5" max="5" width="7.33203125" style="7" customWidth="1"/>
    <col min="6" max="6" width="18.109375" style="7" customWidth="1"/>
    <col min="7" max="7" width="24.6640625" style="7" customWidth="1"/>
    <col min="8" max="8" width="17.6640625" style="11" customWidth="1"/>
    <col min="9" max="9" width="13.5546875" style="11" customWidth="1"/>
    <col min="10" max="10" width="13.88671875" style="11" customWidth="1"/>
    <col min="11" max="11" width="26" style="11" customWidth="1"/>
    <col min="12" max="19" width="9.109375" style="7"/>
    <col min="20" max="16384" width="8.88671875" style="7"/>
  </cols>
  <sheetData>
    <row r="1" spans="1:13" ht="18" customHeight="1">
      <c r="A1" s="2" t="str">
        <f>CONCATENATE("Electromigration MTTF Calculations for Device ",G1," Rev. 0")</f>
        <v>Electromigration MTTF Calculations for Device A2I09VD030N Rev. 0</v>
      </c>
      <c r="B1" s="5"/>
      <c r="C1" s="5"/>
      <c r="D1" s="6" t="s">
        <v>0</v>
      </c>
      <c r="F1" s="8" t="s">
        <v>27</v>
      </c>
      <c r="G1" s="8" t="s">
        <v>42</v>
      </c>
      <c r="H1" s="9" t="s">
        <v>1</v>
      </c>
      <c r="I1" s="10"/>
      <c r="J1" s="10"/>
      <c r="K1" s="10"/>
      <c r="L1" s="11"/>
      <c r="M1" s="11"/>
    </row>
    <row r="2" spans="1:13" ht="18" customHeight="1">
      <c r="A2" s="12" t="s">
        <v>35</v>
      </c>
      <c r="B2" s="5"/>
      <c r="C2" s="5"/>
      <c r="D2" s="5"/>
      <c r="F2" s="8" t="s">
        <v>28</v>
      </c>
      <c r="G2" s="13">
        <v>67.5</v>
      </c>
      <c r="H2" s="14" t="s">
        <v>2</v>
      </c>
      <c r="I2" s="15" t="s">
        <v>3</v>
      </c>
      <c r="J2" s="15" t="s">
        <v>4</v>
      </c>
      <c r="K2" s="15" t="s">
        <v>5</v>
      </c>
      <c r="L2" s="11"/>
      <c r="M2" s="11"/>
    </row>
    <row r="3" spans="1:13" ht="18" customHeight="1">
      <c r="A3" s="12" t="s">
        <v>43</v>
      </c>
      <c r="B3" s="5"/>
      <c r="C3" s="5"/>
      <c r="D3" s="5"/>
      <c r="F3" s="8" t="s">
        <v>8</v>
      </c>
      <c r="G3" s="8">
        <v>48</v>
      </c>
      <c r="H3" s="16" t="s">
        <v>6</v>
      </c>
      <c r="I3" s="17">
        <f>IF(G20&gt;K3, B8-(G20-K3),  B8)</f>
        <v>73</v>
      </c>
      <c r="J3" s="18">
        <v>0</v>
      </c>
      <c r="K3" s="18">
        <f>G10</f>
        <v>150</v>
      </c>
      <c r="L3" s="11"/>
      <c r="M3" s="11"/>
    </row>
    <row r="4" spans="1:13" ht="18" customHeight="1">
      <c r="A4" s="5" t="s">
        <v>7</v>
      </c>
      <c r="B4" s="5"/>
      <c r="C4" s="5"/>
      <c r="D4" s="5"/>
      <c r="F4" s="8" t="s">
        <v>9</v>
      </c>
      <c r="G4" s="19">
        <v>8.0299352750809062E-3</v>
      </c>
      <c r="H4" s="16" t="s">
        <v>8</v>
      </c>
      <c r="I4" s="20">
        <f>IF(B9&lt;J4,J4,IF(B9&gt;K4,K4,B9))</f>
        <v>48</v>
      </c>
      <c r="J4" s="18">
        <v>0</v>
      </c>
      <c r="K4" s="18">
        <v>65</v>
      </c>
      <c r="L4" s="11"/>
      <c r="M4" s="11"/>
    </row>
    <row r="5" spans="1:13" ht="18" customHeight="1">
      <c r="A5" s="5" t="s">
        <v>0</v>
      </c>
      <c r="B5" s="5"/>
      <c r="C5" s="5"/>
      <c r="D5" s="5"/>
      <c r="F5" s="8" t="s">
        <v>11</v>
      </c>
      <c r="G5" s="19">
        <v>1.58423827808529E-3</v>
      </c>
      <c r="H5" s="21" t="s">
        <v>9</v>
      </c>
      <c r="I5" s="15">
        <f>IF(B10&lt;J5,J5,IF(B10&gt;K5,K5,B10))</f>
        <v>8.0299352750809062E-3</v>
      </c>
      <c r="J5" s="22">
        <v>1E-3</v>
      </c>
      <c r="K5" s="22">
        <f>G4*10</f>
        <v>8.0299352750809058E-2</v>
      </c>
      <c r="L5" s="11"/>
      <c r="M5" s="11"/>
    </row>
    <row r="6" spans="1:13" ht="18" customHeight="1">
      <c r="A6" s="12" t="s">
        <v>10</v>
      </c>
      <c r="B6" s="5"/>
      <c r="C6" s="5"/>
      <c r="D6" s="5"/>
      <c r="F6" s="8" t="s">
        <v>13</v>
      </c>
      <c r="G6" s="8">
        <v>7.9399999999999998E-2</v>
      </c>
      <c r="H6" s="16" t="s">
        <v>11</v>
      </c>
      <c r="I6" s="15">
        <f>IF(B11&lt;J6,J6,IF(B11&gt;K6,K6,B11))</f>
        <v>1.58423827808529E-3</v>
      </c>
      <c r="J6" s="10">
        <v>0</v>
      </c>
      <c r="K6" s="22">
        <f>G5*10</f>
        <v>1.5842382780852898E-2</v>
      </c>
      <c r="L6" s="11"/>
      <c r="M6" s="11"/>
    </row>
    <row r="7" spans="1:13" ht="18" customHeight="1">
      <c r="A7" s="23" t="s">
        <v>2</v>
      </c>
      <c r="B7" s="23" t="s">
        <v>3</v>
      </c>
      <c r="C7" s="23" t="s">
        <v>4</v>
      </c>
      <c r="D7" s="23" t="s">
        <v>12</v>
      </c>
      <c r="F7" s="1" t="s">
        <v>30</v>
      </c>
      <c r="G7" s="8">
        <v>6.7</v>
      </c>
      <c r="H7" s="16" t="s">
        <v>13</v>
      </c>
      <c r="I7" s="15">
        <f>IF(B12&lt;J7,J7,IF(B12&gt;K7,K7,B12))</f>
        <v>7.9399999999999998E-2</v>
      </c>
      <c r="J7" s="10">
        <v>0</v>
      </c>
      <c r="K7" s="18">
        <f>G6*10*100/G12</f>
        <v>0.79400000000000004</v>
      </c>
      <c r="L7" s="11"/>
      <c r="M7" s="11"/>
    </row>
    <row r="8" spans="1:13" ht="18" customHeight="1">
      <c r="A8" s="23" t="s">
        <v>6</v>
      </c>
      <c r="B8" s="24">
        <f>G11</f>
        <v>73</v>
      </c>
      <c r="C8" s="25" t="str">
        <f>IF(B8&lt;J3, CONCATENATE("Tcase under limit! ",J3,"°C "),CONCATENATE(J3,"°C "))</f>
        <v xml:space="preserve">0°C </v>
      </c>
      <c r="D8" s="25" t="str">
        <f>IF(B8&gt;K3, CONCATENATE("Tcase over limit! ",K3,"°C "),CONCATENATE(K3,"°C "))</f>
        <v xml:space="preserve">150°C </v>
      </c>
      <c r="F8" s="1" t="s">
        <v>31</v>
      </c>
      <c r="G8" s="8">
        <v>6.03</v>
      </c>
      <c r="H8" s="16" t="s">
        <v>14</v>
      </c>
      <c r="I8" s="15">
        <f>IF(B13&lt;J8,J8,IF(B13&gt;K8,K8,B13))</f>
        <v>10</v>
      </c>
      <c r="J8" s="10">
        <v>7</v>
      </c>
      <c r="K8" s="18">
        <v>30</v>
      </c>
      <c r="L8" s="11"/>
      <c r="M8" s="11"/>
    </row>
    <row r="9" spans="1:13" ht="18" customHeight="1">
      <c r="A9" s="23" t="s">
        <v>8</v>
      </c>
      <c r="B9" s="24">
        <f>G3</f>
        <v>48</v>
      </c>
      <c r="C9" s="25" t="str">
        <f>IF(B9&lt;J4, CONCATENATE("Vdd lnder limit! ",J4,"V "),CONCATENATE(J4,"V"))</f>
        <v>0V</v>
      </c>
      <c r="D9" s="25" t="str">
        <f>IF(B9&gt;K4, CONCATENATE("Vdd over limit! ",K4,"V "),CONCATENATE(K4,"V"))</f>
        <v>65V</v>
      </c>
      <c r="F9" s="1" t="s">
        <v>32</v>
      </c>
      <c r="G9" s="8">
        <v>7.370000000000001</v>
      </c>
      <c r="H9" s="16" t="s">
        <v>33</v>
      </c>
      <c r="I9" s="15">
        <f>IF(B16&lt;J9,J9,IF(B16&gt;K9,K9,B16))</f>
        <v>6.7</v>
      </c>
      <c r="J9" s="18">
        <f>G8</f>
        <v>6.03</v>
      </c>
      <c r="K9" s="18">
        <f>G9</f>
        <v>7.370000000000001</v>
      </c>
      <c r="L9" s="11"/>
      <c r="M9" s="11"/>
    </row>
    <row r="10" spans="1:13" ht="18" customHeight="1">
      <c r="A10" s="23" t="s">
        <v>9</v>
      </c>
      <c r="B10" s="26">
        <f>G4</f>
        <v>8.0299352750809062E-3</v>
      </c>
      <c r="C10" s="25" t="str">
        <f>IF(B10&lt;J5, CONCATENATE("Id3 under limit! ",J5,"A "),CONCATENATE(J5,"A"))</f>
        <v>0.001A</v>
      </c>
      <c r="D10" s="25" t="str">
        <f>IF(B10&gt;K5, CONCATENATE("Id1 over limit! ",K5,"A "),CONCATENATE(K5,"A"))</f>
        <v>0.0802993527508091A</v>
      </c>
      <c r="F10" s="8" t="s">
        <v>29</v>
      </c>
      <c r="G10" s="8">
        <v>150</v>
      </c>
      <c r="H10" s="14" t="s">
        <v>41</v>
      </c>
      <c r="I10" s="27">
        <v>225</v>
      </c>
      <c r="L10" s="11"/>
      <c r="M10" s="11"/>
    </row>
    <row r="11" spans="1:13" ht="18" customHeight="1">
      <c r="A11" s="23" t="s">
        <v>11</v>
      </c>
      <c r="B11" s="28">
        <f>G5</f>
        <v>1.58423827808529E-3</v>
      </c>
      <c r="C11" s="25" t="str">
        <f>IF(B11&lt;J6, CONCATENATE("Vdd under limit! ",J6,"W "),CONCATENATE(J6,"W"))</f>
        <v>0W</v>
      </c>
      <c r="D11" s="25" t="str">
        <f>IF(B11&gt;K6, CONCATENATE("Pin over limit! ",K6,"W "),CONCATENATE(K6,"W"))</f>
        <v>0.0158423827808529W</v>
      </c>
      <c r="F11" s="8" t="s">
        <v>6</v>
      </c>
      <c r="G11" s="8">
        <v>73</v>
      </c>
      <c r="H11" s="29"/>
      <c r="L11" s="11"/>
      <c r="M11" s="11"/>
    </row>
    <row r="12" spans="1:13" ht="18" customHeight="1">
      <c r="A12" s="23" t="s">
        <v>13</v>
      </c>
      <c r="B12" s="24">
        <f>G6</f>
        <v>7.9399999999999998E-2</v>
      </c>
      <c r="C12" s="25" t="str">
        <f>IF(B12&lt;J7, CONCATENATE("Vdd under limit! ",J7,"W "),CONCATENATE(J7,"W"))</f>
        <v>0W</v>
      </c>
      <c r="D12" s="25" t="str">
        <f>IF(B12&gt;K7, CONCATENATE("Pout over limit! ",K7,"W"),CONCATENATE(K7,"W"))</f>
        <v>0.794W</v>
      </c>
      <c r="F12" s="1" t="s">
        <v>34</v>
      </c>
      <c r="G12" s="30">
        <v>100</v>
      </c>
      <c r="H12" s="29"/>
      <c r="L12" s="11"/>
      <c r="M12" s="11"/>
    </row>
    <row r="13" spans="1:13" ht="18" customHeight="1">
      <c r="A13" s="23" t="s">
        <v>36</v>
      </c>
      <c r="B13" s="23">
        <v>10</v>
      </c>
      <c r="C13" s="25" t="str">
        <f>IF(B13&lt;J8, CONCATENATE("Vdd under limit! ",J8,"yrs "),CONCATENATE(J8,"yrs"))</f>
        <v>7yrs</v>
      </c>
      <c r="D13" s="25" t="str">
        <f>IF(B13&gt;K8, CONCATENATE("Target Life over limit! ",K8,"yrs"),CONCATENATE(K8,"yrs"))</f>
        <v>30yrs</v>
      </c>
      <c r="E13" s="31"/>
      <c r="F13" s="29"/>
      <c r="G13" s="29"/>
      <c r="H13" s="29"/>
      <c r="L13" s="11"/>
      <c r="M13" s="11"/>
    </row>
    <row r="14" spans="1:13" ht="18" customHeight="1">
      <c r="A14" s="32"/>
      <c r="B14" s="33"/>
      <c r="C14" s="34"/>
      <c r="D14" s="34"/>
      <c r="E14" s="31"/>
      <c r="F14" s="29"/>
      <c r="G14" s="29"/>
      <c r="H14" s="29"/>
      <c r="L14" s="11"/>
      <c r="M14" s="11"/>
    </row>
    <row r="15" spans="1:13" ht="18" customHeight="1">
      <c r="A15" s="12" t="s">
        <v>15</v>
      </c>
      <c r="B15" s="33"/>
      <c r="C15" s="33"/>
      <c r="D15" s="33"/>
      <c r="E15" s="31"/>
      <c r="F15" s="29"/>
      <c r="G15" s="29"/>
      <c r="H15" s="29"/>
      <c r="L15" s="11"/>
      <c r="M15" s="11"/>
    </row>
    <row r="16" spans="1:13" ht="18" customHeight="1">
      <c r="A16" s="35" t="s">
        <v>33</v>
      </c>
      <c r="B16" s="36">
        <f>G7</f>
        <v>6.7</v>
      </c>
      <c r="C16" s="5"/>
      <c r="D16" s="5"/>
      <c r="E16" s="31"/>
      <c r="F16" s="37"/>
      <c r="G16" s="11"/>
      <c r="J16" s="15" t="str">
        <f>IF(B16&lt;J9, CONCATENATE("Under limit! ",J9,"°C/W "),CONCATENATE(J9," °C/W"))</f>
        <v>6.03 °C/W</v>
      </c>
      <c r="K16" s="15" t="str">
        <f>IF(B16&gt;K9, CONCATENATE("Over limit! ",K9,"°C/W"),CONCATENATE(K9,"°C/W"))</f>
        <v>7.37°C/W</v>
      </c>
      <c r="L16" s="11"/>
      <c r="M16" s="11"/>
    </row>
    <row r="17" spans="1:13" ht="18" customHeight="1">
      <c r="A17" s="32"/>
      <c r="B17" s="38"/>
      <c r="C17" s="34"/>
      <c r="D17" s="34"/>
      <c r="E17" s="31"/>
      <c r="F17" s="37"/>
      <c r="G17" s="11"/>
      <c r="L17" s="11"/>
      <c r="M17" s="11"/>
    </row>
    <row r="18" spans="1:13" ht="18" customHeight="1">
      <c r="A18" s="39" t="s">
        <v>16</v>
      </c>
      <c r="B18" s="40"/>
      <c r="C18" s="40"/>
      <c r="D18" s="34"/>
      <c r="E18" s="31"/>
      <c r="F18" s="37"/>
      <c r="G18" s="11"/>
      <c r="L18" s="11"/>
      <c r="M18" s="11"/>
    </row>
    <row r="19" spans="1:13" ht="18" customHeight="1">
      <c r="A19" s="25" t="str">
        <f>CONCATENATE("When Tcase Temp = ", ROUND(I3, 1), "°C")</f>
        <v>When Tcase Temp = 73°C</v>
      </c>
      <c r="B19" s="25" t="s">
        <v>17</v>
      </c>
      <c r="C19" s="25" t="s">
        <v>18</v>
      </c>
      <c r="D19" s="25" t="str">
        <f>IF(G20&gt;K3,CONCATENATE("If Tcase Temp = ", B8, "°C"),"Stage Over Temp?")</f>
        <v>Stage Over Temp?</v>
      </c>
      <c r="F19" s="11"/>
      <c r="G19" s="11"/>
      <c r="L19" s="11"/>
      <c r="M19" s="11"/>
    </row>
    <row r="20" spans="1:13" ht="18" customHeight="1">
      <c r="A20" s="34" t="s">
        <v>40</v>
      </c>
      <c r="B20" s="41">
        <f>152000/(100000000*I5/G2)^2*EXP(0.66/0.0000863/(273+I3+I9*(I4*I5+I6-I7)))*(100/G12)</f>
        <v>3745618.7808429981</v>
      </c>
      <c r="C20" s="42">
        <f>I3+I9*(I4*I5+I6-I7)</f>
        <v>75.061061580929191</v>
      </c>
      <c r="D20" s="25" t="str">
        <f>IF(B8+I9*(I4*I5+I6-I7)&gt;I10, CONCATENATE(ROUND(B8+I9*(I4*I5+I6-I7)-K3,0),"°C ","Over Tj max."), "None")</f>
        <v>None</v>
      </c>
      <c r="F20" s="11"/>
      <c r="G20" s="43">
        <f>IF(B8+I9*(I4*I5+I6-I7)&gt;I10,B8+I9*(I4*I5+I6-I7),0)</f>
        <v>0</v>
      </c>
      <c r="L20" s="11"/>
      <c r="M20" s="11"/>
    </row>
    <row r="21" spans="1:13" ht="18" customHeight="1">
      <c r="A21" s="25" t="s">
        <v>19</v>
      </c>
      <c r="B21" s="41" t="s">
        <v>20</v>
      </c>
      <c r="C21" s="41" t="str">
        <f>CONCATENATE("Tj max Allowed ",I10, " °C ")</f>
        <v xml:space="preserve">Tj max Allowed 225 °C </v>
      </c>
      <c r="D21" s="41" t="str">
        <f>CONCATENATE("Tj max Allowed ",I10, " °C ")</f>
        <v xml:space="preserve">Tj max Allowed 225 °C </v>
      </c>
      <c r="F21" s="37"/>
      <c r="G21" s="11"/>
      <c r="L21" s="11"/>
      <c r="M21" s="11"/>
    </row>
    <row r="22" spans="1:13" ht="18" customHeight="1">
      <c r="A22" s="34" t="s">
        <v>0</v>
      </c>
      <c r="B22" s="44"/>
      <c r="C22" s="5"/>
      <c r="D22" s="34"/>
      <c r="E22" s="45" t="s">
        <v>0</v>
      </c>
      <c r="F22" s="37"/>
      <c r="G22" s="11"/>
      <c r="L22" s="11"/>
      <c r="M22" s="11"/>
    </row>
    <row r="23" spans="1:13" ht="18" customHeight="1" thickBot="1">
      <c r="A23" s="46" t="s">
        <v>21</v>
      </c>
      <c r="B23" s="47"/>
      <c r="C23" s="47"/>
      <c r="D23" s="47"/>
      <c r="E23" s="31"/>
      <c r="F23" s="37"/>
      <c r="G23" s="11"/>
      <c r="L23" s="11"/>
      <c r="M23" s="11"/>
    </row>
    <row r="24" spans="1:13" ht="18" customHeight="1">
      <c r="A24" s="48" t="s">
        <v>22</v>
      </c>
      <c r="B24" s="49" t="str">
        <f>CONCATENATE(ROUND(B20,0), " Years")</f>
        <v>3745619 Years</v>
      </c>
      <c r="C24" s="50" t="s">
        <v>23</v>
      </c>
      <c r="D24" s="51" t="str">
        <f>CONCATENATE(" ",ROUND(I3, 1), " °C ")</f>
        <v xml:space="preserve"> 73 °C </v>
      </c>
      <c r="H24" s="7"/>
      <c r="I24" s="7"/>
      <c r="J24" s="7"/>
      <c r="K24" s="7"/>
    </row>
    <row r="25" spans="1:13" ht="18" customHeight="1" thickBot="1">
      <c r="A25" s="52" t="s">
        <v>37</v>
      </c>
      <c r="B25" s="53" t="str">
        <f>CONCATENATE(B13," Years")</f>
        <v>10 Years</v>
      </c>
      <c r="C25" s="54" t="s">
        <v>24</v>
      </c>
      <c r="D25" s="55">
        <f xml:space="preserve"> LOGNORMDIST(B13*365*24,LN(B20*365*24),0.8)*2*1000000000/8760/B13</f>
        <v>7.4361824981041492E-54</v>
      </c>
      <c r="H25" s="7"/>
      <c r="I25" s="7"/>
      <c r="J25" s="7"/>
      <c r="K25" s="7"/>
    </row>
    <row r="26" spans="1:13" ht="18" customHeight="1">
      <c r="A26" s="4" t="s">
        <v>25</v>
      </c>
      <c r="B26" s="56"/>
      <c r="C26" s="57"/>
      <c r="D26" s="58"/>
      <c r="H26" s="7"/>
      <c r="I26" s="7"/>
      <c r="J26" s="7"/>
      <c r="K26" s="7"/>
    </row>
    <row r="27" spans="1:13" ht="18" customHeight="1">
      <c r="A27" s="4" t="s">
        <v>26</v>
      </c>
      <c r="B27" s="56"/>
      <c r="C27" s="57"/>
      <c r="D27" s="58"/>
      <c r="H27" s="7"/>
      <c r="I27" s="7"/>
      <c r="J27" s="7"/>
      <c r="K27" s="7"/>
    </row>
    <row r="28" spans="1:13" ht="18" customHeight="1">
      <c r="A28" s="3" t="s">
        <v>38</v>
      </c>
      <c r="B28" s="56"/>
      <c r="C28" s="57"/>
      <c r="D28" s="58"/>
      <c r="H28" s="7"/>
      <c r="I28" s="7"/>
      <c r="J28" s="7"/>
      <c r="K28" s="7"/>
    </row>
    <row r="29" spans="1:13" ht="18" customHeight="1">
      <c r="A29" s="5"/>
      <c r="B29" s="5"/>
      <c r="C29" s="5"/>
      <c r="D29" s="5"/>
      <c r="H29" s="7"/>
      <c r="I29" s="7"/>
      <c r="J29" s="7"/>
      <c r="K29" s="7"/>
    </row>
    <row r="30" spans="1:13" ht="18" customHeight="1">
      <c r="A30" s="59" t="str">
        <f>IF(G20&gt;K3, CONCATENATE("Case Temperature was modified to ",ROUND(I3, 1)," °C based on maximum die junction temperature allowed."),"")</f>
        <v/>
      </c>
      <c r="B30" s="45"/>
      <c r="C30" s="31"/>
      <c r="D30" s="31"/>
      <c r="H30" s="7"/>
      <c r="I30" s="7"/>
      <c r="J30" s="7"/>
      <c r="K30" s="7"/>
    </row>
    <row r="31" spans="1:13" ht="18" customHeight="1">
      <c r="A31" s="60" t="str">
        <f>IF(G20&gt;K3, "Better Heatsink, Cooling Systems or Operating conditions are Necessary to Reduce the Case Temperature","")</f>
        <v/>
      </c>
      <c r="B31" s="61"/>
      <c r="C31" s="61"/>
      <c r="D31" s="61"/>
      <c r="E31" s="62"/>
      <c r="F31" s="62" t="s">
        <v>0</v>
      </c>
      <c r="H31" s="7"/>
      <c r="I31" s="7"/>
      <c r="J31" s="7"/>
      <c r="K31" s="7"/>
    </row>
    <row r="32" spans="1:13">
      <c r="A32" s="60"/>
      <c r="B32" s="63"/>
      <c r="C32" s="63"/>
      <c r="D32" s="63"/>
      <c r="E32" s="62"/>
      <c r="F32" s="62"/>
      <c r="H32" s="7"/>
      <c r="I32" s="7"/>
      <c r="J32" s="7"/>
      <c r="K32" s="7"/>
    </row>
    <row r="33" spans="1:6">
      <c r="E33" s="62"/>
      <c r="F33" s="62"/>
    </row>
    <row r="34" spans="1:6">
      <c r="E34" s="62"/>
      <c r="F34" s="62"/>
    </row>
    <row r="35" spans="1:6">
      <c r="E35" s="62"/>
      <c r="F35" s="62"/>
    </row>
    <row r="36" spans="1:6">
      <c r="E36" s="62"/>
      <c r="F36" s="62"/>
    </row>
    <row r="37" spans="1:6">
      <c r="E37" s="62"/>
      <c r="F37" s="62"/>
    </row>
    <row r="38" spans="1:6">
      <c r="E38" s="62"/>
      <c r="F38" s="62"/>
    </row>
    <row r="39" spans="1:6">
      <c r="E39" s="62"/>
      <c r="F39" s="62"/>
    </row>
    <row r="40" spans="1:6">
      <c r="E40" s="62"/>
      <c r="F40" s="62"/>
    </row>
    <row r="41" spans="1:6">
      <c r="E41" s="62"/>
      <c r="F41" s="62"/>
    </row>
    <row r="42" spans="1:6">
      <c r="A42" s="60"/>
      <c r="B42" s="61"/>
      <c r="C42" s="61"/>
      <c r="D42" s="61"/>
      <c r="E42" s="62"/>
      <c r="F42" s="62"/>
    </row>
    <row r="43" spans="1:6">
      <c r="D43" s="61"/>
      <c r="E43" s="62"/>
      <c r="F43" s="62"/>
    </row>
    <row r="44" spans="1:6">
      <c r="D44" s="31"/>
    </row>
    <row r="45" spans="1:6">
      <c r="D45" s="45"/>
    </row>
    <row r="46" spans="1:6">
      <c r="D46" s="45"/>
    </row>
    <row r="48" spans="1:6">
      <c r="D48" s="45"/>
    </row>
    <row r="49" spans="4:4">
      <c r="D49" s="45"/>
    </row>
    <row r="51" spans="4:4">
      <c r="D51" s="45"/>
    </row>
    <row r="52" spans="4:4">
      <c r="D52" s="45"/>
    </row>
  </sheetData>
  <phoneticPr fontId="0" type="noConversion"/>
  <pageMargins left="0.75" right="0.75" top="1" bottom="1" header="0.5" footer="0.5"/>
  <pageSetup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70" zoomScaleNormal="70" workbookViewId="0">
      <selection activeCell="E17" sqref="E17"/>
    </sheetView>
  </sheetViews>
  <sheetFormatPr defaultRowHeight="14.4"/>
  <cols>
    <col min="1" max="1" width="38.5546875" style="7" customWidth="1"/>
    <col min="2" max="2" width="26.109375" style="7" customWidth="1"/>
    <col min="3" max="3" width="23.109375" style="7" customWidth="1"/>
    <col min="4" max="4" width="34.5546875" style="7" customWidth="1"/>
    <col min="5" max="5" width="7.33203125" style="7" customWidth="1"/>
    <col min="6" max="6" width="18.109375" style="7" customWidth="1"/>
    <col min="7" max="7" width="24.6640625" style="7" customWidth="1"/>
    <col min="8" max="8" width="17.6640625" style="11" customWidth="1"/>
    <col min="9" max="9" width="13.5546875" style="11" customWidth="1"/>
    <col min="10" max="10" width="13.88671875" style="11" customWidth="1"/>
    <col min="11" max="11" width="26" style="11" customWidth="1"/>
    <col min="12" max="19" width="9.109375" style="7"/>
    <col min="20" max="16384" width="8.88671875" style="7"/>
  </cols>
  <sheetData>
    <row r="1" spans="1:14" ht="18" customHeight="1">
      <c r="A1" s="2" t="str">
        <f>CONCATENATE("Electromigration MTTF Calculations for Device ",G1," Rev. 0")</f>
        <v>Electromigration MTTF Calculations for Device A2I09VD030N Rev. 0</v>
      </c>
      <c r="B1" s="5"/>
      <c r="C1" s="5"/>
      <c r="D1" s="6" t="s">
        <v>0</v>
      </c>
      <c r="F1" s="8" t="s">
        <v>27</v>
      </c>
      <c r="G1" s="8" t="s">
        <v>42</v>
      </c>
      <c r="H1" s="9" t="s">
        <v>1</v>
      </c>
      <c r="I1" s="10"/>
      <c r="J1" s="10"/>
      <c r="K1" s="10"/>
      <c r="L1" s="11"/>
      <c r="M1" s="11"/>
      <c r="N1" s="11"/>
    </row>
    <row r="2" spans="1:14" ht="18" customHeight="1">
      <c r="A2" s="12" t="s">
        <v>35</v>
      </c>
      <c r="B2" s="5"/>
      <c r="C2" s="5"/>
      <c r="D2" s="5"/>
      <c r="F2" s="8" t="s">
        <v>28</v>
      </c>
      <c r="G2" s="13">
        <v>315</v>
      </c>
      <c r="H2" s="14" t="s">
        <v>2</v>
      </c>
      <c r="I2" s="15" t="s">
        <v>3</v>
      </c>
      <c r="J2" s="15" t="s">
        <v>4</v>
      </c>
      <c r="K2" s="15" t="s">
        <v>5</v>
      </c>
      <c r="L2" s="11"/>
      <c r="M2" s="11"/>
      <c r="N2" s="11"/>
    </row>
    <row r="3" spans="1:14" ht="18" customHeight="1">
      <c r="A3" s="12" t="s">
        <v>44</v>
      </c>
      <c r="B3" s="5"/>
      <c r="C3" s="5"/>
      <c r="D3" s="5"/>
      <c r="F3" s="8" t="s">
        <v>8</v>
      </c>
      <c r="G3" s="8">
        <v>48</v>
      </c>
      <c r="H3" s="16" t="s">
        <v>6</v>
      </c>
      <c r="I3" s="17">
        <f>IF(G20&gt;K3, B8-(G20-K3),  B8)</f>
        <v>73</v>
      </c>
      <c r="J3" s="18">
        <v>0</v>
      </c>
      <c r="K3" s="18">
        <f>G10</f>
        <v>150</v>
      </c>
      <c r="L3" s="11"/>
      <c r="M3" s="11"/>
      <c r="N3" s="11"/>
    </row>
    <row r="4" spans="1:14" ht="18" customHeight="1">
      <c r="A4" s="5" t="s">
        <v>7</v>
      </c>
      <c r="B4" s="5"/>
      <c r="C4" s="5"/>
      <c r="D4" s="5"/>
      <c r="F4" s="8" t="s">
        <v>9</v>
      </c>
      <c r="G4" s="19">
        <v>0.40453074433656955</v>
      </c>
      <c r="H4" s="16" t="s">
        <v>8</v>
      </c>
      <c r="I4" s="20">
        <f>IF(B9&lt;J4,J4,IF(B9&gt;K4,K4,B9))</f>
        <v>48</v>
      </c>
      <c r="J4" s="18">
        <v>0</v>
      </c>
      <c r="K4" s="18">
        <v>65</v>
      </c>
      <c r="L4" s="11"/>
      <c r="M4" s="11"/>
      <c r="N4" s="11"/>
    </row>
    <row r="5" spans="1:14" ht="18" customHeight="1">
      <c r="A5" s="5" t="s">
        <v>0</v>
      </c>
      <c r="B5" s="5"/>
      <c r="C5" s="5"/>
      <c r="D5" s="5"/>
      <c r="F5" s="8" t="s">
        <v>11</v>
      </c>
      <c r="G5" s="19">
        <v>7.9810492598755181E-2</v>
      </c>
      <c r="H5" s="21" t="s">
        <v>9</v>
      </c>
      <c r="I5" s="15">
        <f>IF(B10&lt;J5,J5,IF(B10&gt;K5,K5,B10))</f>
        <v>0.40453074433656955</v>
      </c>
      <c r="J5" s="22">
        <v>1E-3</v>
      </c>
      <c r="K5" s="22">
        <f>G4*10</f>
        <v>4.0453074433656955</v>
      </c>
      <c r="L5" s="11"/>
      <c r="M5" s="11"/>
      <c r="N5" s="11"/>
    </row>
    <row r="6" spans="1:14" ht="18" customHeight="1">
      <c r="A6" s="12" t="s">
        <v>10</v>
      </c>
      <c r="B6" s="5"/>
      <c r="C6" s="5"/>
      <c r="D6" s="5"/>
      <c r="F6" s="8" t="s">
        <v>13</v>
      </c>
      <c r="G6" s="8">
        <v>4</v>
      </c>
      <c r="H6" s="16" t="s">
        <v>11</v>
      </c>
      <c r="I6" s="15">
        <f>IF(B11&lt;J6,J6,IF(B11&gt;K6,K6,B11))</f>
        <v>7.9810492598755181E-2</v>
      </c>
      <c r="J6" s="10">
        <v>0</v>
      </c>
      <c r="K6" s="22">
        <f>G5*10</f>
        <v>0.79810492598755178</v>
      </c>
      <c r="L6" s="11"/>
      <c r="M6" s="11"/>
      <c r="N6" s="11"/>
    </row>
    <row r="7" spans="1:14" ht="18" customHeight="1">
      <c r="A7" s="23" t="s">
        <v>2</v>
      </c>
      <c r="B7" s="23" t="s">
        <v>3</v>
      </c>
      <c r="C7" s="23" t="s">
        <v>4</v>
      </c>
      <c r="D7" s="23" t="s">
        <v>12</v>
      </c>
      <c r="F7" s="1" t="s">
        <v>30</v>
      </c>
      <c r="G7" s="8">
        <v>2.8</v>
      </c>
      <c r="H7" s="16" t="s">
        <v>13</v>
      </c>
      <c r="I7" s="15">
        <f>IF(B12&lt;J7,J7,IF(B12&gt;K7,K7,B12))</f>
        <v>4</v>
      </c>
      <c r="J7" s="10">
        <v>0</v>
      </c>
      <c r="K7" s="18">
        <f>G6*10*100/G12</f>
        <v>40</v>
      </c>
      <c r="L7" s="11"/>
      <c r="M7" s="11"/>
      <c r="N7" s="11"/>
    </row>
    <row r="8" spans="1:14" ht="18" customHeight="1">
      <c r="A8" s="23" t="s">
        <v>6</v>
      </c>
      <c r="B8" s="24">
        <f>G11</f>
        <v>73</v>
      </c>
      <c r="C8" s="25" t="str">
        <f>IF(B8&lt;J3, CONCATENATE("Tcase under limit! ",J3,"°C "),CONCATENATE(J3,"°C "))</f>
        <v xml:space="preserve">0°C </v>
      </c>
      <c r="D8" s="25" t="str">
        <f>IF(B8&gt;K3, CONCATENATE("Tcase over limit! ",K3,"°C "),CONCATENATE(K3,"°C "))</f>
        <v xml:space="preserve">150°C </v>
      </c>
      <c r="F8" s="1" t="s">
        <v>31</v>
      </c>
      <c r="G8" s="8">
        <v>2.52</v>
      </c>
      <c r="H8" s="16" t="s">
        <v>14</v>
      </c>
      <c r="I8" s="15">
        <f>IF(B13&lt;J8,J8,IF(B13&gt;K8,K8,B13))</f>
        <v>10</v>
      </c>
      <c r="J8" s="10">
        <v>7</v>
      </c>
      <c r="K8" s="18">
        <v>30</v>
      </c>
      <c r="L8" s="11"/>
      <c r="M8" s="11"/>
      <c r="N8" s="11"/>
    </row>
    <row r="9" spans="1:14" ht="18" customHeight="1">
      <c r="A9" s="23" t="s">
        <v>8</v>
      </c>
      <c r="B9" s="24">
        <f>G3</f>
        <v>48</v>
      </c>
      <c r="C9" s="25" t="str">
        <f>IF(B9&lt;J4, CONCATENATE("Vdd lnder limit! ",J4,"V "),CONCATENATE(J4,"V"))</f>
        <v>0V</v>
      </c>
      <c r="D9" s="25" t="str">
        <f>IF(B9&gt;K4, CONCATENATE("Vdd over limit! ",K4,"V "),CONCATENATE(K4,"V"))</f>
        <v>65V</v>
      </c>
      <c r="F9" s="1" t="s">
        <v>32</v>
      </c>
      <c r="G9" s="8">
        <v>3.08</v>
      </c>
      <c r="H9" s="16" t="s">
        <v>33</v>
      </c>
      <c r="I9" s="15">
        <f>IF(B16&lt;J9,J9,IF(B16&gt;K9,K9,B16))</f>
        <v>2.8</v>
      </c>
      <c r="J9" s="18">
        <f>G8</f>
        <v>2.52</v>
      </c>
      <c r="K9" s="18">
        <f>G9</f>
        <v>3.08</v>
      </c>
      <c r="L9" s="11"/>
      <c r="M9" s="11"/>
      <c r="N9" s="11"/>
    </row>
    <row r="10" spans="1:14" ht="18" customHeight="1">
      <c r="A10" s="23" t="s">
        <v>9</v>
      </c>
      <c r="B10" s="26">
        <f>G4</f>
        <v>0.40453074433656955</v>
      </c>
      <c r="C10" s="25" t="str">
        <f>IF(B10&lt;J5, CONCATENATE("Id3 under limit! ",J5,"A "),CONCATENATE(J5,"A"))</f>
        <v>0.001A</v>
      </c>
      <c r="D10" s="25" t="str">
        <f>IF(B10&gt;K5, CONCATENATE("Vdd over limit! ",K5,"A "),CONCATENATE(K5,"A"))</f>
        <v>4.0453074433657A</v>
      </c>
      <c r="F10" s="8" t="s">
        <v>29</v>
      </c>
      <c r="G10" s="8">
        <v>150</v>
      </c>
      <c r="H10" s="14" t="s">
        <v>41</v>
      </c>
      <c r="I10" s="27">
        <v>225</v>
      </c>
      <c r="L10" s="11"/>
      <c r="M10" s="11"/>
      <c r="N10" s="11"/>
    </row>
    <row r="11" spans="1:14" ht="18" customHeight="1">
      <c r="A11" s="23" t="s">
        <v>11</v>
      </c>
      <c r="B11" s="28">
        <f>G5</f>
        <v>7.9810492598755181E-2</v>
      </c>
      <c r="C11" s="25" t="str">
        <f>IF(B11&lt;J6, CONCATENATE("Vdd under limit! ",J6,"W "),CONCATENATE(J6,"W"))</f>
        <v>0W</v>
      </c>
      <c r="D11" s="25" t="str">
        <f>IF(B11&gt;K6, CONCATENATE("Vdd over limit! ",K6,"W "),CONCATENATE(K6,"W"))</f>
        <v>0.798104925987552W</v>
      </c>
      <c r="F11" s="8" t="s">
        <v>6</v>
      </c>
      <c r="G11" s="8">
        <v>73</v>
      </c>
      <c r="H11" s="29"/>
      <c r="L11" s="11"/>
      <c r="M11" s="11"/>
      <c r="N11" s="11"/>
    </row>
    <row r="12" spans="1:14" ht="18" customHeight="1">
      <c r="A12" s="23" t="s">
        <v>13</v>
      </c>
      <c r="B12" s="24">
        <f>G6</f>
        <v>4</v>
      </c>
      <c r="C12" s="25" t="str">
        <f>IF(B12&lt;J7, CONCATENATE("Vdd under limit! ",J7,"W "),CONCATENATE(J7,"W"))</f>
        <v>0W</v>
      </c>
      <c r="D12" s="25" t="str">
        <f>IF(B12&gt;K7, CONCATENATE("Vdd over limit! ",K7,"W"),CONCATENATE(K7,"W"))</f>
        <v>40W</v>
      </c>
      <c r="F12" s="1" t="s">
        <v>34</v>
      </c>
      <c r="G12" s="30">
        <v>100</v>
      </c>
      <c r="H12" s="29"/>
      <c r="L12" s="11"/>
      <c r="M12" s="11"/>
      <c r="N12" s="11"/>
    </row>
    <row r="13" spans="1:14" ht="18" customHeight="1">
      <c r="A13" s="23" t="s">
        <v>36</v>
      </c>
      <c r="B13" s="23">
        <v>10</v>
      </c>
      <c r="C13" s="25" t="str">
        <f>IF(B13&lt;J8, CONCATENATE("Vdd under limit! ",J8,"yrs "),CONCATENATE(J8,"yrs"))</f>
        <v>7yrs</v>
      </c>
      <c r="D13" s="25" t="str">
        <f>IF(B13&gt;K8, CONCATENATE("Vdd over limit! ",K8,"yrs"),CONCATENATE(K8,"yrs"))</f>
        <v>30yrs</v>
      </c>
      <c r="E13" s="31"/>
      <c r="F13" s="29"/>
      <c r="G13" s="29"/>
      <c r="H13" s="29"/>
      <c r="L13" s="11"/>
      <c r="M13" s="11"/>
      <c r="N13" s="11"/>
    </row>
    <row r="14" spans="1:14" ht="18" customHeight="1">
      <c r="A14" s="32"/>
      <c r="B14" s="33"/>
      <c r="C14" s="34"/>
      <c r="D14" s="34"/>
      <c r="E14" s="31"/>
      <c r="F14" s="29"/>
      <c r="G14" s="29"/>
      <c r="H14" s="29"/>
      <c r="L14" s="11"/>
      <c r="M14" s="11"/>
      <c r="N14" s="11"/>
    </row>
    <row r="15" spans="1:14" ht="18" customHeight="1">
      <c r="A15" s="12" t="s">
        <v>15</v>
      </c>
      <c r="B15" s="33"/>
      <c r="C15" s="33"/>
      <c r="D15" s="33"/>
      <c r="E15" s="31"/>
      <c r="F15" s="29"/>
      <c r="G15" s="29"/>
      <c r="H15" s="29"/>
      <c r="L15" s="11"/>
      <c r="M15" s="11"/>
      <c r="N15" s="11"/>
    </row>
    <row r="16" spans="1:14" ht="18" customHeight="1">
      <c r="A16" s="35" t="s">
        <v>45</v>
      </c>
      <c r="B16" s="36">
        <f>G7</f>
        <v>2.8</v>
      </c>
      <c r="C16" s="5"/>
      <c r="D16" s="5"/>
      <c r="E16" s="31"/>
      <c r="F16" s="37"/>
      <c r="G16" s="11"/>
      <c r="J16" s="15" t="str">
        <f>IF(B16&lt;J9, CONCATENATE("Under limit! ",J9,"°C/W "),CONCATENATE(J9," °C/W"))</f>
        <v>2.52 °C/W</v>
      </c>
      <c r="K16" s="15" t="str">
        <f>IF(B16&gt;K9, CONCATENATE("Over limit! ",K9,"°C/W"),CONCATENATE(K9,"°C/W"))</f>
        <v>3.08°C/W</v>
      </c>
      <c r="L16" s="11"/>
      <c r="M16" s="11"/>
      <c r="N16" s="11"/>
    </row>
    <row r="17" spans="1:14" ht="18" customHeight="1">
      <c r="A17" s="32"/>
      <c r="B17" s="38"/>
      <c r="C17" s="34"/>
      <c r="D17" s="34"/>
      <c r="E17" s="31"/>
      <c r="F17" s="37"/>
      <c r="G17" s="11"/>
      <c r="L17" s="11"/>
      <c r="M17" s="11"/>
      <c r="N17" s="11"/>
    </row>
    <row r="18" spans="1:14" ht="18" customHeight="1">
      <c r="A18" s="39" t="s">
        <v>16</v>
      </c>
      <c r="B18" s="40"/>
      <c r="C18" s="40"/>
      <c r="D18" s="34"/>
      <c r="E18" s="31"/>
      <c r="F18" s="37"/>
      <c r="G18" s="11"/>
      <c r="L18" s="11"/>
      <c r="M18" s="11"/>
      <c r="N18" s="11"/>
    </row>
    <row r="19" spans="1:14" ht="18" customHeight="1">
      <c r="A19" s="25" t="str">
        <f>CONCATENATE("When Tcase Temp = ", ROUND(I3, 1), "°C")</f>
        <v>When Tcase Temp = 73°C</v>
      </c>
      <c r="B19" s="25" t="s">
        <v>17</v>
      </c>
      <c r="C19" s="25" t="s">
        <v>18</v>
      </c>
      <c r="D19" s="25" t="str">
        <f>IF(G20&gt;K3,CONCATENATE("If Tcase Temp = ", B8, "°C"),"Stage Over Temp?")</f>
        <v>Stage Over Temp?</v>
      </c>
      <c r="F19" s="11"/>
      <c r="G19" s="11"/>
      <c r="L19" s="11"/>
      <c r="M19" s="11"/>
      <c r="N19" s="11"/>
    </row>
    <row r="20" spans="1:14" ht="18" customHeight="1">
      <c r="A20" s="34" t="s">
        <v>39</v>
      </c>
      <c r="B20" s="41">
        <f>152000/(100000000*I5/G2)^2*EXP(0.66/0.0000863/(273+I3+I9*(I4*I5+I6-I7)))*(100/G12)</f>
        <v>3120.2358708437887</v>
      </c>
      <c r="C20" s="42">
        <f>I3+I9*(I4*I5+I6-I7)</f>
        <v>116.39240141811146</v>
      </c>
      <c r="D20" s="25" t="str">
        <f>IF(B8+I9*(I4*I5+I6-I7)&gt;I10, CONCATENATE(ROUND(B8+I9*(I4*I5+I6-I7)-K3,0),"°C ","Over Tj max."), "None")</f>
        <v>None</v>
      </c>
      <c r="F20" s="11"/>
      <c r="G20" s="43">
        <f>IF(B8+I9*(I4*I5+I6-I7)&gt;I10,B8+I9*(I4*I5+I6-I7),0)</f>
        <v>0</v>
      </c>
      <c r="L20" s="11"/>
      <c r="M20" s="11"/>
      <c r="N20" s="11"/>
    </row>
    <row r="21" spans="1:14" ht="18" customHeight="1">
      <c r="A21" s="25" t="s">
        <v>19</v>
      </c>
      <c r="B21" s="41" t="s">
        <v>20</v>
      </c>
      <c r="C21" s="41" t="str">
        <f>CONCATENATE("Tj max Allowed ",I10, " °C ")</f>
        <v xml:space="preserve">Tj max Allowed 225 °C </v>
      </c>
      <c r="D21" s="41" t="str">
        <f>CONCATENATE("Tj max Allowed ",I10, " °C ")</f>
        <v xml:space="preserve">Tj max Allowed 225 °C </v>
      </c>
      <c r="F21" s="37"/>
      <c r="G21" s="11"/>
      <c r="L21" s="11"/>
      <c r="M21" s="11"/>
      <c r="N21" s="11"/>
    </row>
    <row r="22" spans="1:14" ht="18" customHeight="1">
      <c r="A22" s="34" t="s">
        <v>0</v>
      </c>
      <c r="B22" s="44"/>
      <c r="C22" s="5"/>
      <c r="D22" s="34"/>
      <c r="E22" s="45" t="s">
        <v>0</v>
      </c>
      <c r="F22" s="37"/>
      <c r="G22" s="11"/>
      <c r="L22" s="11"/>
      <c r="M22" s="11"/>
      <c r="N22" s="11"/>
    </row>
    <row r="23" spans="1:14" ht="18" customHeight="1" thickBot="1">
      <c r="A23" s="46" t="s">
        <v>21</v>
      </c>
      <c r="B23" s="47"/>
      <c r="C23" s="47"/>
      <c r="D23" s="47"/>
      <c r="E23" s="31"/>
      <c r="F23" s="37"/>
      <c r="G23" s="11"/>
      <c r="L23" s="11"/>
      <c r="M23" s="11"/>
      <c r="N23" s="11"/>
    </row>
    <row r="24" spans="1:14" ht="18" customHeight="1">
      <c r="A24" s="48" t="s">
        <v>22</v>
      </c>
      <c r="B24" s="49" t="str">
        <f>CONCATENATE(ROUND(B20,0), " Years")</f>
        <v>3120 Years</v>
      </c>
      <c r="C24" s="50" t="s">
        <v>23</v>
      </c>
      <c r="D24" s="51" t="str">
        <f>CONCATENATE(" ",ROUND(I3, 1), " °C ")</f>
        <v xml:space="preserve"> 73 °C </v>
      </c>
      <c r="F24" s="11"/>
      <c r="G24" s="11"/>
      <c r="L24" s="11"/>
      <c r="M24" s="11"/>
      <c r="N24" s="11"/>
    </row>
    <row r="25" spans="1:14" ht="18" customHeight="1" thickBot="1">
      <c r="A25" s="52" t="s">
        <v>37</v>
      </c>
      <c r="B25" s="53" t="str">
        <f>CONCATENATE(B13," Years")</f>
        <v>10 Years</v>
      </c>
      <c r="C25" s="54" t="s">
        <v>24</v>
      </c>
      <c r="D25" s="55">
        <f xml:space="preserve"> LOGNORMDIST(B13*365*24,LN(B20*365*24),0.8)*2*1000000000/8760/B13</f>
        <v>8.0252287468101418E-9</v>
      </c>
      <c r="F25" s="11"/>
      <c r="G25" s="11"/>
      <c r="L25" s="11"/>
      <c r="M25" s="11"/>
      <c r="N25" s="11"/>
    </row>
    <row r="26" spans="1:14" ht="18" customHeight="1">
      <c r="A26" s="4" t="s">
        <v>25</v>
      </c>
      <c r="B26" s="56"/>
      <c r="C26" s="57"/>
      <c r="D26" s="58"/>
      <c r="H26" s="7"/>
      <c r="I26" s="7"/>
      <c r="J26" s="7"/>
      <c r="K26" s="7"/>
    </row>
    <row r="27" spans="1:14" ht="18" customHeight="1">
      <c r="A27" s="4" t="s">
        <v>26</v>
      </c>
      <c r="B27" s="56"/>
      <c r="C27" s="57"/>
      <c r="D27" s="58"/>
      <c r="H27" s="7"/>
      <c r="I27" s="7"/>
      <c r="J27" s="7"/>
      <c r="K27" s="7"/>
    </row>
    <row r="28" spans="1:14" ht="18" customHeight="1">
      <c r="A28" s="3" t="s">
        <v>38</v>
      </c>
      <c r="B28" s="56"/>
      <c r="C28" s="57"/>
      <c r="D28" s="58"/>
      <c r="H28" s="7"/>
      <c r="I28" s="7"/>
      <c r="J28" s="7"/>
      <c r="K28" s="7"/>
    </row>
    <row r="29" spans="1:14" ht="18" customHeight="1">
      <c r="A29" s="5"/>
      <c r="B29" s="5"/>
      <c r="C29" s="5"/>
      <c r="D29" s="5"/>
      <c r="H29" s="7"/>
      <c r="I29" s="7"/>
      <c r="J29" s="7"/>
      <c r="K29" s="7"/>
    </row>
    <row r="30" spans="1:14" ht="18" customHeight="1">
      <c r="A30" s="59" t="str">
        <f>IF(G20&gt;K3, CONCATENATE("Case Temperature was modified to ",ROUND(I3, 1)," °C based on maximum die junction temperature allowed."),"")</f>
        <v/>
      </c>
      <c r="B30" s="45"/>
      <c r="C30" s="31"/>
      <c r="D30" s="31"/>
      <c r="H30" s="7"/>
      <c r="I30" s="7"/>
      <c r="J30" s="7"/>
      <c r="K30" s="7"/>
    </row>
    <row r="31" spans="1:14" ht="18" customHeight="1">
      <c r="A31" s="60" t="str">
        <f>IF(G20&gt;K3, "Better Heatsink, Cooling Systems or Operating conditions are Necessary to Reduce the Case Temperature","")</f>
        <v/>
      </c>
      <c r="B31" s="61"/>
      <c r="C31" s="61"/>
      <c r="D31" s="61"/>
      <c r="E31" s="62"/>
      <c r="F31" s="62" t="s">
        <v>0</v>
      </c>
      <c r="H31" s="7"/>
      <c r="I31" s="7"/>
      <c r="J31" s="7"/>
      <c r="K31" s="7"/>
    </row>
    <row r="32" spans="1:14">
      <c r="A32" s="60"/>
      <c r="B32" s="63"/>
      <c r="C32" s="63"/>
      <c r="D32" s="63"/>
      <c r="E32" s="62"/>
      <c r="F32" s="62"/>
      <c r="H32" s="7"/>
      <c r="I32" s="7"/>
      <c r="J32" s="7"/>
      <c r="K32" s="7"/>
    </row>
    <row r="33" spans="1:6">
      <c r="E33" s="62"/>
      <c r="F33" s="62"/>
    </row>
    <row r="34" spans="1:6">
      <c r="E34" s="62"/>
      <c r="F34" s="62"/>
    </row>
    <row r="35" spans="1:6">
      <c r="E35" s="62"/>
      <c r="F35" s="62"/>
    </row>
    <row r="36" spans="1:6">
      <c r="E36" s="62"/>
      <c r="F36" s="62"/>
    </row>
    <row r="37" spans="1:6">
      <c r="E37" s="62"/>
      <c r="F37" s="62"/>
    </row>
    <row r="38" spans="1:6">
      <c r="E38" s="62"/>
      <c r="F38" s="62"/>
    </row>
    <row r="39" spans="1:6">
      <c r="E39" s="62"/>
      <c r="F39" s="62"/>
    </row>
    <row r="40" spans="1:6">
      <c r="E40" s="62"/>
      <c r="F40" s="62"/>
    </row>
    <row r="41" spans="1:6">
      <c r="E41" s="62"/>
      <c r="F41" s="62"/>
    </row>
    <row r="42" spans="1:6">
      <c r="A42" s="60"/>
      <c r="B42" s="61"/>
      <c r="C42" s="61"/>
      <c r="D42" s="61"/>
      <c r="E42" s="62"/>
      <c r="F42" s="62"/>
    </row>
    <row r="43" spans="1:6">
      <c r="D43" s="61"/>
      <c r="E43" s="62"/>
      <c r="F43" s="62"/>
    </row>
    <row r="44" spans="1:6">
      <c r="D44" s="31"/>
    </row>
    <row r="45" spans="1:6">
      <c r="D45" s="45"/>
    </row>
    <row r="46" spans="1:6">
      <c r="D46" s="45"/>
    </row>
    <row r="48" spans="1:6">
      <c r="D48" s="45"/>
    </row>
    <row r="49" spans="4:4">
      <c r="D49" s="45"/>
    </row>
    <row r="51" spans="4:4">
      <c r="D51" s="45"/>
    </row>
    <row r="52" spans="4:4">
      <c r="D52" s="45"/>
    </row>
  </sheetData>
  <pageMargins left="0.75" right="0.75" top="1" bottom="1" header="0.5" footer="0.5"/>
  <pageSetup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="70" zoomScaleNormal="70" workbookViewId="0">
      <selection activeCell="E17" sqref="E17"/>
    </sheetView>
  </sheetViews>
  <sheetFormatPr defaultRowHeight="14.4"/>
  <cols>
    <col min="1" max="1" width="38.5546875" style="7" customWidth="1"/>
    <col min="2" max="2" width="26.109375" style="7" customWidth="1"/>
    <col min="3" max="3" width="23.109375" style="7" customWidth="1"/>
    <col min="4" max="4" width="34.21875" style="7" customWidth="1"/>
    <col min="5" max="5" width="7.21875" style="7" customWidth="1"/>
    <col min="6" max="6" width="18.109375" style="7" customWidth="1"/>
    <col min="7" max="7" width="24.6640625" style="7" customWidth="1"/>
    <col min="8" max="8" width="17.6640625" style="11" customWidth="1"/>
    <col min="9" max="9" width="13.5546875" style="11" customWidth="1"/>
    <col min="10" max="10" width="13.88671875" style="11" customWidth="1"/>
    <col min="11" max="11" width="26" style="11" customWidth="1"/>
    <col min="12" max="19" width="9.109375" style="7"/>
    <col min="20" max="16384" width="8.88671875" style="7"/>
  </cols>
  <sheetData>
    <row r="1" spans="1:12" ht="18" customHeight="1">
      <c r="A1" s="2" t="str">
        <f>CONCATENATE("Electromigration MTTF Calculations for Device ",G1," Rev. 0")</f>
        <v>Electromigration MTTF Calculations for Device A2I09VD030N Rev. 0</v>
      </c>
      <c r="B1" s="5"/>
      <c r="C1" s="5"/>
      <c r="D1" s="6" t="s">
        <v>0</v>
      </c>
      <c r="F1" s="8" t="s">
        <v>27</v>
      </c>
      <c r="G1" s="8" t="s">
        <v>42</v>
      </c>
      <c r="H1" s="9" t="s">
        <v>1</v>
      </c>
      <c r="I1" s="10"/>
      <c r="J1" s="10"/>
      <c r="K1" s="10"/>
      <c r="L1" s="11"/>
    </row>
    <row r="2" spans="1:12" ht="18" customHeight="1">
      <c r="A2" s="12" t="s">
        <v>35</v>
      </c>
      <c r="B2" s="5"/>
      <c r="C2" s="5"/>
      <c r="D2" s="5"/>
      <c r="F2" s="8" t="s">
        <v>28</v>
      </c>
      <c r="G2" s="13">
        <v>67.5</v>
      </c>
      <c r="H2" s="14" t="s">
        <v>2</v>
      </c>
      <c r="I2" s="15" t="s">
        <v>3</v>
      </c>
      <c r="J2" s="15" t="s">
        <v>4</v>
      </c>
      <c r="K2" s="15" t="s">
        <v>5</v>
      </c>
      <c r="L2" s="11"/>
    </row>
    <row r="3" spans="1:12" ht="18" customHeight="1">
      <c r="A3" s="12" t="s">
        <v>43</v>
      </c>
      <c r="B3" s="5"/>
      <c r="C3" s="5"/>
      <c r="D3" s="5"/>
      <c r="F3" s="8" t="s">
        <v>8</v>
      </c>
      <c r="G3" s="8">
        <v>48</v>
      </c>
      <c r="H3" s="16" t="s">
        <v>6</v>
      </c>
      <c r="I3" s="17">
        <f>IF(G20&gt;K3, B8-(G20-K3  ),  B8)</f>
        <v>78</v>
      </c>
      <c r="J3" s="18">
        <v>0</v>
      </c>
      <c r="K3" s="18">
        <f>G10</f>
        <v>150</v>
      </c>
      <c r="L3" s="11"/>
    </row>
    <row r="4" spans="1:12" ht="18" customHeight="1">
      <c r="A4" s="5" t="s">
        <v>7</v>
      </c>
      <c r="B4" s="5"/>
      <c r="C4" s="5"/>
      <c r="D4" s="5"/>
      <c r="F4" s="8" t="s">
        <v>9</v>
      </c>
      <c r="G4" s="19">
        <v>4.8973880597014921E-2</v>
      </c>
      <c r="H4" s="16" t="s">
        <v>8</v>
      </c>
      <c r="I4" s="20">
        <f>IF(B9&lt;J4,J4,IF(B9&gt;K4,K4,B9))</f>
        <v>48</v>
      </c>
      <c r="J4" s="18">
        <v>0</v>
      </c>
      <c r="K4" s="18">
        <v>65</v>
      </c>
      <c r="L4" s="11"/>
    </row>
    <row r="5" spans="1:12" ht="18" customHeight="1">
      <c r="A5" s="5" t="s">
        <v>0</v>
      </c>
      <c r="B5" s="5"/>
      <c r="C5" s="5"/>
      <c r="D5" s="5"/>
      <c r="F5" s="8" t="s">
        <v>11</v>
      </c>
      <c r="G5" s="19">
        <v>4.6813438866243735E-2</v>
      </c>
      <c r="H5" s="21" t="s">
        <v>9</v>
      </c>
      <c r="I5" s="15">
        <f>IF(B10&lt;J5,J5,IF(B10&gt;K5,K5,B10))</f>
        <v>4.8973880597014921E-2</v>
      </c>
      <c r="J5" s="22">
        <v>1E-3</v>
      </c>
      <c r="K5" s="22">
        <f>G4*10</f>
        <v>0.48973880597014918</v>
      </c>
      <c r="L5" s="11"/>
    </row>
    <row r="6" spans="1:12" ht="18" customHeight="1">
      <c r="A6" s="12" t="s">
        <v>10</v>
      </c>
      <c r="B6" s="5"/>
      <c r="C6" s="5"/>
      <c r="D6" s="5"/>
      <c r="F6" s="8" t="s">
        <v>13</v>
      </c>
      <c r="G6" s="8">
        <v>1.26</v>
      </c>
      <c r="H6" s="16" t="s">
        <v>11</v>
      </c>
      <c r="I6" s="15">
        <f>IF(B11&lt;J6,J6,IF(B11&gt;K6,K6,B11))</f>
        <v>4.6813438866243735E-2</v>
      </c>
      <c r="J6" s="10">
        <v>0</v>
      </c>
      <c r="K6" s="22">
        <f>G5*10</f>
        <v>0.46813438866243734</v>
      </c>
      <c r="L6" s="11"/>
    </row>
    <row r="7" spans="1:12" ht="18" customHeight="1">
      <c r="A7" s="23" t="s">
        <v>2</v>
      </c>
      <c r="B7" s="23" t="s">
        <v>3</v>
      </c>
      <c r="C7" s="23" t="s">
        <v>4</v>
      </c>
      <c r="D7" s="23" t="s">
        <v>12</v>
      </c>
      <c r="F7" s="1" t="s">
        <v>30</v>
      </c>
      <c r="G7" s="8">
        <v>6.2</v>
      </c>
      <c r="H7" s="16" t="s">
        <v>13</v>
      </c>
      <c r="I7" s="15">
        <f>IF(B12&lt;J7,J7,IF(B12&gt;K7,K7,B12))</f>
        <v>1.26</v>
      </c>
      <c r="J7" s="10">
        <v>0</v>
      </c>
      <c r="K7" s="18">
        <f>G6*10*100/G12</f>
        <v>12.6</v>
      </c>
      <c r="L7" s="11"/>
    </row>
    <row r="8" spans="1:12" ht="18" customHeight="1">
      <c r="A8" s="23" t="s">
        <v>6</v>
      </c>
      <c r="B8" s="24">
        <f>G11</f>
        <v>78</v>
      </c>
      <c r="C8" s="25" t="str">
        <f>IF(B8&lt;J3, CONCATENATE("Tcase under limit! ",J3,"°C "),CONCATENATE(J3,"°C "))</f>
        <v xml:space="preserve">0°C </v>
      </c>
      <c r="D8" s="25" t="str">
        <f>IF(B8&gt;K3, CONCATENATE("Tcase over limit! ",K3,"°C "),CONCATENATE(K3,"°C "))</f>
        <v xml:space="preserve">150°C </v>
      </c>
      <c r="F8" s="1" t="s">
        <v>31</v>
      </c>
      <c r="G8" s="8">
        <v>5.58</v>
      </c>
      <c r="H8" s="16" t="s">
        <v>14</v>
      </c>
      <c r="I8" s="15">
        <f>IF(B13&lt;J8,J8,IF(B13&gt;K8,K8,B13))</f>
        <v>10</v>
      </c>
      <c r="J8" s="10">
        <v>7</v>
      </c>
      <c r="K8" s="18">
        <v>30</v>
      </c>
      <c r="L8" s="11"/>
    </row>
    <row r="9" spans="1:12" ht="18" customHeight="1">
      <c r="A9" s="23" t="s">
        <v>8</v>
      </c>
      <c r="B9" s="24">
        <f>G3</f>
        <v>48</v>
      </c>
      <c r="C9" s="25" t="str">
        <f>IF(B9&lt;J4, CONCATENATE("Vdd lnder limit! ",J4,"V "),CONCATENATE(J4,"V"))</f>
        <v>0V</v>
      </c>
      <c r="D9" s="25" t="str">
        <f>IF(B9&gt;K4, CONCATENATE("Vdd over limit! ",K4,"V "),CONCATENATE(K4,"V"))</f>
        <v>65V</v>
      </c>
      <c r="F9" s="1" t="s">
        <v>32</v>
      </c>
      <c r="G9" s="8">
        <v>6.8200000000000012</v>
      </c>
      <c r="H9" s="16" t="s">
        <v>33</v>
      </c>
      <c r="I9" s="15">
        <f>IF(B16&lt;J9,J9,IF(B16&gt;K9,K9,B16))</f>
        <v>6.2</v>
      </c>
      <c r="J9" s="18">
        <f>G8</f>
        <v>5.58</v>
      </c>
      <c r="K9" s="18">
        <f>G9</f>
        <v>6.8200000000000012</v>
      </c>
      <c r="L9" s="11"/>
    </row>
    <row r="10" spans="1:12" ht="18" customHeight="1">
      <c r="A10" s="23" t="s">
        <v>9</v>
      </c>
      <c r="B10" s="26">
        <f>G4</f>
        <v>4.8973880597014921E-2</v>
      </c>
      <c r="C10" s="25" t="str">
        <f>IF(B10&lt;J5, CONCATENATE("Id3 under limit! ",J5,"A "),CONCATENATE(J5,"A"))</f>
        <v>0.001A</v>
      </c>
      <c r="D10" s="25" t="str">
        <f>IF(B10&gt;K5, CONCATENATE("Vdd over limit! ",K5,"A "),CONCATENATE(K5,"A"))</f>
        <v>0.489738805970149A</v>
      </c>
      <c r="F10" s="8" t="s">
        <v>29</v>
      </c>
      <c r="G10" s="8">
        <v>150</v>
      </c>
      <c r="H10" s="14" t="s">
        <v>41</v>
      </c>
      <c r="I10" s="27">
        <v>225</v>
      </c>
      <c r="L10" s="11"/>
    </row>
    <row r="11" spans="1:12" ht="18" customHeight="1">
      <c r="A11" s="23" t="s">
        <v>11</v>
      </c>
      <c r="B11" s="28">
        <f>G5</f>
        <v>4.6813438866243735E-2</v>
      </c>
      <c r="C11" s="25" t="str">
        <f>IF(B11&lt;J6, CONCATENATE("Vdd under limit! ",J6,"W "),CONCATENATE(J6,"W"))</f>
        <v>0W</v>
      </c>
      <c r="D11" s="25" t="str">
        <f>IF(B11&gt;K6, CONCATENATE("Vdd over limit! ",K6,"W "),CONCATENATE(K6,"W"))</f>
        <v>0.468134388662437W</v>
      </c>
      <c r="F11" s="8" t="s">
        <v>6</v>
      </c>
      <c r="G11" s="8">
        <v>78</v>
      </c>
      <c r="H11" s="29"/>
      <c r="L11" s="11"/>
    </row>
    <row r="12" spans="1:12" ht="18" customHeight="1">
      <c r="A12" s="23" t="s">
        <v>13</v>
      </c>
      <c r="B12" s="24">
        <f>G6</f>
        <v>1.26</v>
      </c>
      <c r="C12" s="25" t="str">
        <f>IF(B12&lt;J7, CONCATENATE("Vdd under limit! ",J7,"W "),CONCATENATE(J7,"W"))</f>
        <v>0W</v>
      </c>
      <c r="D12" s="25" t="str">
        <f>IF(B12&gt;K7, CONCATENATE("Vdd over limit! ",K7,"W"),CONCATENATE(K7,"W"))</f>
        <v>12.6W</v>
      </c>
      <c r="F12" s="1" t="s">
        <v>34</v>
      </c>
      <c r="G12" s="30">
        <v>100</v>
      </c>
      <c r="H12" s="29"/>
      <c r="L12" s="11"/>
    </row>
    <row r="13" spans="1:12" ht="18" customHeight="1">
      <c r="A13" s="23" t="s">
        <v>36</v>
      </c>
      <c r="B13" s="23">
        <v>10</v>
      </c>
      <c r="C13" s="25" t="str">
        <f>IF(B13&lt;J8, CONCATENATE("Vdd under limit! ",J8,"yrs "),CONCATENATE(J8,"yrs"))</f>
        <v>7yrs</v>
      </c>
      <c r="D13" s="25" t="str">
        <f>IF(B13&gt;K8, CONCATENATE("Vdd over limit! ",K8,"yrs"),CONCATENATE(K8,"yrs"))</f>
        <v>30yrs</v>
      </c>
      <c r="E13" s="31"/>
      <c r="F13" s="29"/>
      <c r="G13" s="29"/>
      <c r="H13" s="29"/>
      <c r="L13" s="11"/>
    </row>
    <row r="14" spans="1:12" ht="18" customHeight="1">
      <c r="A14" s="32"/>
      <c r="B14" s="33"/>
      <c r="C14" s="34"/>
      <c r="D14" s="34"/>
      <c r="E14" s="31"/>
      <c r="F14" s="29"/>
      <c r="G14" s="29"/>
      <c r="H14" s="29"/>
      <c r="L14" s="11"/>
    </row>
    <row r="15" spans="1:12" ht="18" customHeight="1">
      <c r="A15" s="12" t="s">
        <v>15</v>
      </c>
      <c r="B15" s="33"/>
      <c r="C15" s="33"/>
      <c r="D15" s="33"/>
      <c r="E15" s="31"/>
      <c r="F15" s="29"/>
      <c r="G15" s="29"/>
      <c r="H15" s="29"/>
      <c r="L15" s="11"/>
    </row>
    <row r="16" spans="1:12" ht="18" customHeight="1">
      <c r="A16" s="35" t="s">
        <v>33</v>
      </c>
      <c r="B16" s="36">
        <f>G7</f>
        <v>6.2</v>
      </c>
      <c r="C16" s="5"/>
      <c r="D16" s="5"/>
      <c r="E16" s="31"/>
      <c r="F16" s="37"/>
      <c r="G16" s="11"/>
      <c r="J16" s="15" t="str">
        <f>IF(B16&lt;J9, CONCATENATE("Under limit! ",J9,"°C/W "),CONCATENATE(J9," °C/W"))</f>
        <v>5.58 °C/W</v>
      </c>
      <c r="K16" s="15" t="str">
        <f>IF(B16&gt;K9, CONCATENATE("Over limit! ",K9,"°C/W"),CONCATENATE(K9,"°C/W"))</f>
        <v>6.82°C/W</v>
      </c>
      <c r="L16" s="11"/>
    </row>
    <row r="17" spans="1:12" ht="18" customHeight="1">
      <c r="A17" s="32"/>
      <c r="B17" s="38"/>
      <c r="C17" s="34"/>
      <c r="D17" s="34"/>
      <c r="E17" s="31"/>
      <c r="F17" s="37"/>
      <c r="G17" s="11"/>
      <c r="L17" s="11"/>
    </row>
    <row r="18" spans="1:12" ht="18" customHeight="1">
      <c r="A18" s="39" t="s">
        <v>16</v>
      </c>
      <c r="B18" s="40"/>
      <c r="C18" s="40"/>
      <c r="D18" s="34"/>
      <c r="E18" s="31"/>
      <c r="F18" s="37"/>
      <c r="G18" s="11"/>
      <c r="L18" s="11"/>
    </row>
    <row r="19" spans="1:12" ht="18" customHeight="1">
      <c r="A19" s="25" t="str">
        <f>CONCATENATE("When Tcase Temp = ", ROUND(I3, 1), "°C")</f>
        <v>When Tcase Temp = 78°C</v>
      </c>
      <c r="B19" s="25" t="s">
        <v>17</v>
      </c>
      <c r="C19" s="25" t="s">
        <v>18</v>
      </c>
      <c r="D19" s="25" t="str">
        <f>IF(G20&gt;K3,CONCATENATE("If Tcase Temp = ", B8, "°C"),"Stage Over Temp?")</f>
        <v>Stage Over Temp?</v>
      </c>
      <c r="F19" s="11"/>
      <c r="G19" s="11"/>
      <c r="L19" s="11"/>
    </row>
    <row r="20" spans="1:12" ht="18" customHeight="1">
      <c r="A20" s="34" t="s">
        <v>40</v>
      </c>
      <c r="B20" s="41">
        <f>152000/(100000000*I5/G2)^2*EXP(0.66/0.0000863/(273+I3+I9*(I4*I5+I6-I7)))*(100/G12)</f>
        <v>54541.378869845459</v>
      </c>
      <c r="C20" s="42">
        <f>I3+I9*(I4*I5+I6-I7)</f>
        <v>85.052870186642352</v>
      </c>
      <c r="D20" s="25" t="str">
        <f>IF(B8+I9*(I4*I5+I6-I7)&gt;I10, CONCATENATE(ROUND(B8+I9*(I4*I5+I6-I7)-K3,0),"°C ","Over Tj max."), "None")</f>
        <v>None</v>
      </c>
      <c r="F20" s="11"/>
      <c r="G20" s="43">
        <f>IF(B8+I9*(I4*I5+I6-I7)&gt;I10,B8+I9*(I4*I5+I6-I7),0)</f>
        <v>0</v>
      </c>
      <c r="L20" s="11"/>
    </row>
    <row r="21" spans="1:12" ht="18" customHeight="1">
      <c r="A21" s="25" t="s">
        <v>19</v>
      </c>
      <c r="B21" s="41" t="s">
        <v>20</v>
      </c>
      <c r="C21" s="41" t="str">
        <f>CONCATENATE("Tj max Allowed ",I10, " °C ")</f>
        <v xml:space="preserve">Tj max Allowed 225 °C </v>
      </c>
      <c r="D21" s="41" t="str">
        <f>CONCATENATE("Tj max Allowed ",I10, " °C ")</f>
        <v xml:space="preserve">Tj max Allowed 225 °C </v>
      </c>
      <c r="F21" s="37"/>
      <c r="G21" s="11"/>
      <c r="L21" s="11"/>
    </row>
    <row r="22" spans="1:12" ht="18" customHeight="1">
      <c r="A22" s="34" t="s">
        <v>0</v>
      </c>
      <c r="B22" s="44"/>
      <c r="C22" s="5"/>
      <c r="D22" s="34"/>
      <c r="E22" s="45" t="s">
        <v>0</v>
      </c>
      <c r="F22" s="37"/>
      <c r="G22" s="11"/>
      <c r="L22" s="11"/>
    </row>
    <row r="23" spans="1:12" ht="18" customHeight="1" thickBot="1">
      <c r="A23" s="46" t="s">
        <v>21</v>
      </c>
      <c r="B23" s="47"/>
      <c r="C23" s="47"/>
      <c r="D23" s="47"/>
      <c r="E23" s="31"/>
      <c r="F23" s="37"/>
      <c r="G23" s="11"/>
      <c r="L23" s="11"/>
    </row>
    <row r="24" spans="1:12" ht="18" customHeight="1">
      <c r="A24" s="48" t="s">
        <v>22</v>
      </c>
      <c r="B24" s="49" t="str">
        <f>CONCATENATE(ROUND(B20,0), " Years")</f>
        <v>54541 Years</v>
      </c>
      <c r="C24" s="50" t="s">
        <v>23</v>
      </c>
      <c r="D24" s="51" t="str">
        <f>CONCATENATE(" ",ROUND(I3, 1), " °C ")</f>
        <v xml:space="preserve"> 78 °C </v>
      </c>
      <c r="F24" s="11"/>
      <c r="G24" s="11"/>
      <c r="L24" s="11"/>
    </row>
    <row r="25" spans="1:12" ht="18" customHeight="1" thickBot="1">
      <c r="A25" s="52" t="s">
        <v>37</v>
      </c>
      <c r="B25" s="53" t="str">
        <f>CONCATENATE(B13," Years")</f>
        <v>10 Years</v>
      </c>
      <c r="C25" s="54" t="s">
        <v>24</v>
      </c>
      <c r="D25" s="55">
        <f xml:space="preserve"> LOGNORMDIST(B13*365*24,LN(B20*365*24),0.8)*2*1000000000/8760/B13</f>
        <v>6.3967220862719304E-23</v>
      </c>
      <c r="F25" s="11"/>
      <c r="G25" s="11"/>
      <c r="L25" s="11"/>
    </row>
    <row r="26" spans="1:12" ht="18" customHeight="1">
      <c r="A26" s="4" t="s">
        <v>25</v>
      </c>
      <c r="B26" s="56"/>
      <c r="C26" s="57"/>
      <c r="D26" s="58"/>
      <c r="H26" s="7"/>
      <c r="I26" s="7"/>
      <c r="J26" s="7"/>
      <c r="K26" s="7"/>
    </row>
    <row r="27" spans="1:12" ht="18" customHeight="1">
      <c r="A27" s="4" t="s">
        <v>26</v>
      </c>
      <c r="B27" s="56"/>
      <c r="C27" s="57"/>
      <c r="D27" s="58"/>
      <c r="H27" s="7"/>
      <c r="I27" s="7"/>
      <c r="J27" s="7"/>
      <c r="K27" s="7"/>
    </row>
    <row r="28" spans="1:12" ht="18" customHeight="1">
      <c r="A28" s="3" t="s">
        <v>38</v>
      </c>
      <c r="B28" s="56"/>
      <c r="C28" s="57"/>
      <c r="D28" s="58"/>
      <c r="H28" s="7"/>
      <c r="I28" s="7"/>
      <c r="J28" s="7"/>
      <c r="K28" s="7"/>
    </row>
    <row r="29" spans="1:12" ht="18" customHeight="1">
      <c r="A29" s="5"/>
      <c r="B29" s="5"/>
      <c r="C29" s="5"/>
      <c r="D29" s="5"/>
      <c r="H29" s="7"/>
      <c r="I29" s="7"/>
      <c r="J29" s="7"/>
      <c r="K29" s="7"/>
    </row>
    <row r="30" spans="1:12" ht="18" customHeight="1">
      <c r="A30" s="59" t="str">
        <f>IF(G20&gt;K3, CONCATENATE("Case Temperature was modified to ",ROUND(I3, 1)," °C based on maximum die junction temperature allowed."),"")</f>
        <v/>
      </c>
      <c r="B30" s="45"/>
      <c r="C30" s="31"/>
      <c r="D30" s="31"/>
      <c r="H30" s="7"/>
      <c r="I30" s="7"/>
      <c r="J30" s="7"/>
      <c r="K30" s="7"/>
    </row>
    <row r="31" spans="1:12" ht="18" customHeight="1">
      <c r="A31" s="60" t="str">
        <f>IF(G20&gt;K3, "Better Heatsink, Cooling Systems or Operating conditions are Necessary to Reduce the Case Temperature","")</f>
        <v/>
      </c>
      <c r="B31" s="61"/>
      <c r="C31" s="61"/>
      <c r="D31" s="61"/>
      <c r="E31" s="62"/>
      <c r="F31" s="62" t="s">
        <v>0</v>
      </c>
      <c r="H31" s="7"/>
      <c r="I31" s="7"/>
      <c r="J31" s="7"/>
      <c r="K31" s="7"/>
    </row>
    <row r="32" spans="1:12">
      <c r="A32" s="60"/>
      <c r="B32" s="63"/>
      <c r="C32" s="63"/>
      <c r="D32" s="63"/>
      <c r="E32" s="62"/>
      <c r="F32" s="62"/>
      <c r="H32" s="7"/>
      <c r="I32" s="7"/>
      <c r="J32" s="7"/>
      <c r="K32" s="7"/>
    </row>
    <row r="33" spans="1:6">
      <c r="E33" s="62"/>
      <c r="F33" s="62"/>
    </row>
    <row r="34" spans="1:6">
      <c r="E34" s="62"/>
      <c r="F34" s="62"/>
    </row>
    <row r="35" spans="1:6">
      <c r="E35" s="62"/>
      <c r="F35" s="62"/>
    </row>
    <row r="36" spans="1:6">
      <c r="E36" s="62"/>
      <c r="F36" s="62"/>
    </row>
    <row r="37" spans="1:6">
      <c r="E37" s="62"/>
      <c r="F37" s="62"/>
    </row>
    <row r="38" spans="1:6">
      <c r="E38" s="62"/>
      <c r="F38" s="62"/>
    </row>
    <row r="39" spans="1:6">
      <c r="E39" s="62"/>
      <c r="F39" s="62"/>
    </row>
    <row r="40" spans="1:6">
      <c r="E40" s="62"/>
      <c r="F40" s="62"/>
    </row>
    <row r="41" spans="1:6">
      <c r="E41" s="62"/>
      <c r="F41" s="62"/>
    </row>
    <row r="42" spans="1:6">
      <c r="A42" s="60"/>
      <c r="B42" s="61"/>
      <c r="C42" s="61"/>
      <c r="D42" s="61"/>
      <c r="E42" s="62"/>
      <c r="F42" s="62"/>
    </row>
    <row r="43" spans="1:6">
      <c r="D43" s="61"/>
      <c r="E43" s="62"/>
      <c r="F43" s="62"/>
    </row>
    <row r="44" spans="1:6">
      <c r="D44" s="31"/>
    </row>
    <row r="45" spans="1:6">
      <c r="D45" s="45"/>
    </row>
    <row r="46" spans="1:6">
      <c r="D46" s="45"/>
    </row>
    <row r="48" spans="1:6">
      <c r="D48" s="45"/>
    </row>
    <row r="49" spans="4:4">
      <c r="D49" s="45"/>
    </row>
    <row r="51" spans="4:4">
      <c r="D51" s="45"/>
    </row>
    <row r="52" spans="4:4">
      <c r="D52" s="45"/>
    </row>
  </sheetData>
  <pageMargins left="0.75" right="0.75" top="1" bottom="1" header="0.5" footer="0.5"/>
  <pageSetup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70" zoomScaleNormal="70" workbookViewId="0">
      <selection activeCell="E17" sqref="E17"/>
    </sheetView>
  </sheetViews>
  <sheetFormatPr defaultRowHeight="14.4"/>
  <cols>
    <col min="1" max="1" width="38.5546875" style="7" customWidth="1"/>
    <col min="2" max="2" width="26.109375" style="7" customWidth="1"/>
    <col min="3" max="3" width="23.109375" style="7" customWidth="1"/>
    <col min="4" max="4" width="34" style="7" customWidth="1"/>
    <col min="5" max="5" width="7.33203125" style="7" customWidth="1"/>
    <col min="6" max="6" width="18.109375" style="7" customWidth="1"/>
    <col min="7" max="7" width="24.6640625" style="7" customWidth="1"/>
    <col min="8" max="8" width="17.6640625" style="11" customWidth="1"/>
    <col min="9" max="9" width="13.5546875" style="11" customWidth="1"/>
    <col min="10" max="10" width="13.88671875" style="11" customWidth="1"/>
    <col min="11" max="11" width="26" style="11" customWidth="1"/>
    <col min="12" max="19" width="9.109375" style="7"/>
    <col min="20" max="16384" width="8.88671875" style="7"/>
  </cols>
  <sheetData>
    <row r="1" spans="1:13" ht="18" customHeight="1">
      <c r="A1" s="2" t="str">
        <f>CONCATENATE("Electromigration MTTF Calculations for Device ",G1," Rev. 0")</f>
        <v>Electromigration MTTF Calculations for Device A2I09VD030N Rev. 0</v>
      </c>
      <c r="B1" s="5"/>
      <c r="C1" s="5"/>
      <c r="D1" s="6" t="s">
        <v>0</v>
      </c>
      <c r="F1" s="8" t="s">
        <v>27</v>
      </c>
      <c r="G1" s="8" t="s">
        <v>42</v>
      </c>
      <c r="H1" s="9" t="s">
        <v>1</v>
      </c>
      <c r="I1" s="10"/>
      <c r="J1" s="10"/>
      <c r="K1" s="10"/>
      <c r="L1" s="11"/>
      <c r="M1" s="11"/>
    </row>
    <row r="2" spans="1:13" ht="18" customHeight="1">
      <c r="A2" s="12" t="s">
        <v>35</v>
      </c>
      <c r="B2" s="5"/>
      <c r="C2" s="5"/>
      <c r="D2" s="5"/>
      <c r="F2" s="8" t="s">
        <v>28</v>
      </c>
      <c r="G2" s="13">
        <v>315</v>
      </c>
      <c r="H2" s="14" t="s">
        <v>2</v>
      </c>
      <c r="I2" s="15" t="s">
        <v>3</v>
      </c>
      <c r="J2" s="15" t="s">
        <v>4</v>
      </c>
      <c r="K2" s="15" t="s">
        <v>5</v>
      </c>
      <c r="L2" s="11"/>
      <c r="M2" s="11"/>
    </row>
    <row r="3" spans="1:13" ht="18" customHeight="1">
      <c r="A3" s="12" t="s">
        <v>44</v>
      </c>
      <c r="B3" s="5"/>
      <c r="C3" s="5"/>
      <c r="D3" s="5"/>
      <c r="F3" s="8" t="s">
        <v>8</v>
      </c>
      <c r="G3" s="8">
        <v>48</v>
      </c>
      <c r="H3" s="16" t="s">
        <v>6</v>
      </c>
      <c r="I3" s="17">
        <f>IF(G20&gt;K3, B8-(G20-K3  ),  B8)</f>
        <v>78</v>
      </c>
      <c r="J3" s="18">
        <v>0</v>
      </c>
      <c r="K3" s="18">
        <f>G10</f>
        <v>150</v>
      </c>
      <c r="L3" s="11"/>
      <c r="M3" s="11"/>
    </row>
    <row r="4" spans="1:13" ht="18" customHeight="1">
      <c r="A4" s="5" t="s">
        <v>7</v>
      </c>
      <c r="B4" s="5"/>
      <c r="C4" s="5"/>
      <c r="D4" s="5"/>
      <c r="F4" s="8" t="s">
        <v>9</v>
      </c>
      <c r="G4" s="19">
        <v>1.3215174129353235</v>
      </c>
      <c r="H4" s="16" t="s">
        <v>8</v>
      </c>
      <c r="I4" s="20">
        <f>IF(B9&lt;J4,J4,IF(B9&gt;K4,K4,B9))</f>
        <v>48</v>
      </c>
      <c r="J4" s="18">
        <v>0</v>
      </c>
      <c r="K4" s="18">
        <v>65</v>
      </c>
      <c r="L4" s="11"/>
      <c r="M4" s="11"/>
    </row>
    <row r="5" spans="1:13" ht="18" customHeight="1">
      <c r="A5" s="5" t="s">
        <v>0</v>
      </c>
      <c r="B5" s="5"/>
      <c r="C5" s="5"/>
      <c r="D5" s="5"/>
      <c r="F5" s="8" t="s">
        <v>11</v>
      </c>
      <c r="G5" s="19">
        <v>1.2632197789303883</v>
      </c>
      <c r="H5" s="21" t="s">
        <v>9</v>
      </c>
      <c r="I5" s="15">
        <f>IF(B10&lt;J5,J5,IF(B10&gt;K5,K5,B10))</f>
        <v>1.3215174129353235</v>
      </c>
      <c r="J5" s="22">
        <v>1E-3</v>
      </c>
      <c r="K5" s="22">
        <f>G4*10</f>
        <v>13.215174129353235</v>
      </c>
      <c r="L5" s="11"/>
      <c r="M5" s="11"/>
    </row>
    <row r="6" spans="1:13" ht="18" customHeight="1">
      <c r="A6" s="12" t="s">
        <v>10</v>
      </c>
      <c r="B6" s="5"/>
      <c r="C6" s="5"/>
      <c r="D6" s="5"/>
      <c r="F6" s="8" t="s">
        <v>13</v>
      </c>
      <c r="G6" s="8">
        <v>34</v>
      </c>
      <c r="H6" s="16" t="s">
        <v>11</v>
      </c>
      <c r="I6" s="15">
        <f>IF(B11&lt;J6,J6,IF(B11&gt;K6,K6,B11))</f>
        <v>1.2632197789303883</v>
      </c>
      <c r="J6" s="10">
        <v>0</v>
      </c>
      <c r="K6" s="22">
        <f>G5*10</f>
        <v>12.632197789303882</v>
      </c>
      <c r="L6" s="11"/>
      <c r="M6" s="11"/>
    </row>
    <row r="7" spans="1:13" ht="18" customHeight="1">
      <c r="A7" s="23" t="s">
        <v>2</v>
      </c>
      <c r="B7" s="23" t="s">
        <v>3</v>
      </c>
      <c r="C7" s="23" t="s">
        <v>4</v>
      </c>
      <c r="D7" s="23" t="s">
        <v>12</v>
      </c>
      <c r="F7" s="1" t="s">
        <v>30</v>
      </c>
      <c r="G7" s="8">
        <v>2.5</v>
      </c>
      <c r="H7" s="16" t="s">
        <v>13</v>
      </c>
      <c r="I7" s="15">
        <f>IF(B12&lt;J7,J7,IF(B12&gt;K7,K7,B12))</f>
        <v>34</v>
      </c>
      <c r="J7" s="10">
        <v>0</v>
      </c>
      <c r="K7" s="18">
        <f>G6*10*100/G12</f>
        <v>340</v>
      </c>
      <c r="L7" s="11"/>
      <c r="M7" s="11"/>
    </row>
    <row r="8" spans="1:13" ht="18" customHeight="1">
      <c r="A8" s="23" t="s">
        <v>6</v>
      </c>
      <c r="B8" s="24">
        <f>G11</f>
        <v>78</v>
      </c>
      <c r="C8" s="25" t="str">
        <f>IF(B8&lt;J3, CONCATENATE("Tcase under limit! ",J3,"°C "),CONCATENATE(J3,"°C "))</f>
        <v xml:space="preserve">0°C </v>
      </c>
      <c r="D8" s="25" t="str">
        <f>IF(B8&gt;K3, CONCATENATE("Tcase over limit! ",K3,"°C "),CONCATENATE(K3,"°C "))</f>
        <v xml:space="preserve">150°C </v>
      </c>
      <c r="F8" s="1" t="s">
        <v>31</v>
      </c>
      <c r="G8" s="8">
        <v>2.25</v>
      </c>
      <c r="H8" s="16" t="s">
        <v>14</v>
      </c>
      <c r="I8" s="15">
        <f>IF(B13&lt;J8,J8,IF(B13&gt;K8,K8,B13))</f>
        <v>10</v>
      </c>
      <c r="J8" s="10">
        <v>7</v>
      </c>
      <c r="K8" s="18">
        <v>30</v>
      </c>
      <c r="L8" s="11"/>
      <c r="M8" s="11"/>
    </row>
    <row r="9" spans="1:13" ht="18" customHeight="1">
      <c r="A9" s="23" t="s">
        <v>8</v>
      </c>
      <c r="B9" s="24">
        <f>G3</f>
        <v>48</v>
      </c>
      <c r="C9" s="25" t="str">
        <f>IF(B9&lt;J4, CONCATENATE("Vdd lnder limit! ",J4,"V "),CONCATENATE(J4,"V"))</f>
        <v>0V</v>
      </c>
      <c r="D9" s="25" t="str">
        <f>IF(B9&gt;K4, CONCATENATE("Vdd over limit! ",K4,"V "),CONCATENATE(K4,"V"))</f>
        <v>65V</v>
      </c>
      <c r="F9" s="1" t="s">
        <v>32</v>
      </c>
      <c r="G9" s="8">
        <v>2.75</v>
      </c>
      <c r="H9" s="16" t="s">
        <v>33</v>
      </c>
      <c r="I9" s="15">
        <f>IF(B16&lt;J9,J9,IF(B16&gt;K9,K9,B16))</f>
        <v>2.5</v>
      </c>
      <c r="J9" s="18">
        <f>G8</f>
        <v>2.25</v>
      </c>
      <c r="K9" s="18">
        <f>G9</f>
        <v>2.75</v>
      </c>
      <c r="L9" s="11"/>
      <c r="M9" s="11"/>
    </row>
    <row r="10" spans="1:13" ht="18" customHeight="1">
      <c r="A10" s="23" t="s">
        <v>9</v>
      </c>
      <c r="B10" s="26">
        <f>G4</f>
        <v>1.3215174129353235</v>
      </c>
      <c r="C10" s="25" t="str">
        <f>IF(B10&lt;J5, CONCATENATE("Id3 under limit! ",J5,"A "),CONCATENATE(J5,"A"))</f>
        <v>0.001A</v>
      </c>
      <c r="D10" s="25" t="str">
        <f>IF(B10&gt;K5, CONCATENATE("Vdd over limit! ",K5,"A "),CONCATENATE(K5,"A"))</f>
        <v>13.2151741293532A</v>
      </c>
      <c r="F10" s="8" t="s">
        <v>29</v>
      </c>
      <c r="G10" s="8">
        <v>150</v>
      </c>
      <c r="H10" s="14" t="s">
        <v>41</v>
      </c>
      <c r="I10" s="27">
        <v>225</v>
      </c>
      <c r="L10" s="11"/>
      <c r="M10" s="11"/>
    </row>
    <row r="11" spans="1:13" ht="18" customHeight="1">
      <c r="A11" s="23" t="s">
        <v>11</v>
      </c>
      <c r="B11" s="28">
        <f>G5</f>
        <v>1.2632197789303883</v>
      </c>
      <c r="C11" s="25" t="str">
        <f>IF(B11&lt;J6, CONCATENATE("Vdd under limit! ",J6,"W "),CONCATENATE(J6,"W"))</f>
        <v>0W</v>
      </c>
      <c r="D11" s="25" t="str">
        <f>IF(B11&gt;K6, CONCATENATE("Vdd over limit! ",K6,"W "),CONCATENATE(K6,"W"))</f>
        <v>12.6321977893039W</v>
      </c>
      <c r="F11" s="8" t="s">
        <v>6</v>
      </c>
      <c r="G11" s="8">
        <v>78</v>
      </c>
      <c r="H11" s="29"/>
      <c r="L11" s="11"/>
      <c r="M11" s="11"/>
    </row>
    <row r="12" spans="1:13" ht="18" customHeight="1">
      <c r="A12" s="23" t="s">
        <v>13</v>
      </c>
      <c r="B12" s="24">
        <f>G6</f>
        <v>34</v>
      </c>
      <c r="C12" s="25" t="str">
        <f>IF(B12&lt;J7, CONCATENATE("Vdd under limit! ",J7,"W "),CONCATENATE(J7,"W"))</f>
        <v>0W</v>
      </c>
      <c r="D12" s="25" t="str">
        <f>IF(B12&gt;K7, CONCATENATE("Vdd over limit! ",K7,"W"),CONCATENATE(K7,"W"))</f>
        <v>340W</v>
      </c>
      <c r="F12" s="1" t="s">
        <v>34</v>
      </c>
      <c r="G12" s="30">
        <v>100</v>
      </c>
      <c r="H12" s="29"/>
      <c r="L12" s="11"/>
      <c r="M12" s="11"/>
    </row>
    <row r="13" spans="1:13" ht="18" customHeight="1">
      <c r="A13" s="23" t="s">
        <v>36</v>
      </c>
      <c r="B13" s="23">
        <v>10</v>
      </c>
      <c r="C13" s="25" t="str">
        <f>IF(B13&lt;J8, CONCATENATE("Vdd under limit! ",J8,"yrs "),CONCATENATE(J8,"yrs"))</f>
        <v>7yrs</v>
      </c>
      <c r="D13" s="25" t="str">
        <f>IF(B13&gt;K8, CONCATENATE("Vdd over limit! ",K8,"yrs"),CONCATENATE(K8,"yrs"))</f>
        <v>30yrs</v>
      </c>
      <c r="E13" s="31"/>
      <c r="F13" s="29"/>
      <c r="G13" s="29"/>
      <c r="H13" s="29"/>
      <c r="L13" s="11"/>
      <c r="M13" s="11"/>
    </row>
    <row r="14" spans="1:13" ht="18" customHeight="1">
      <c r="A14" s="32"/>
      <c r="B14" s="33"/>
      <c r="C14" s="34"/>
      <c r="D14" s="34"/>
      <c r="E14" s="31"/>
      <c r="F14" s="29"/>
      <c r="G14" s="29"/>
      <c r="H14" s="29"/>
      <c r="L14" s="11"/>
      <c r="M14" s="11"/>
    </row>
    <row r="15" spans="1:13" ht="18" customHeight="1">
      <c r="A15" s="12" t="s">
        <v>15</v>
      </c>
      <c r="B15" s="33"/>
      <c r="C15" s="33"/>
      <c r="D15" s="33"/>
      <c r="E15" s="31"/>
      <c r="F15" s="29"/>
      <c r="G15" s="29"/>
      <c r="H15" s="29"/>
      <c r="L15" s="11"/>
      <c r="M15" s="11"/>
    </row>
    <row r="16" spans="1:13" ht="18" customHeight="1">
      <c r="A16" s="35" t="s">
        <v>45</v>
      </c>
      <c r="B16" s="36">
        <f>G7</f>
        <v>2.5</v>
      </c>
      <c r="C16" s="5"/>
      <c r="D16" s="5"/>
      <c r="E16" s="31"/>
      <c r="F16" s="37"/>
      <c r="G16" s="11"/>
      <c r="J16" s="15" t="str">
        <f>IF(B16&lt;J9, CONCATENATE("Under limit! ",J9,"°C/W "),CONCATENATE(J9," °C/W"))</f>
        <v>2.25 °C/W</v>
      </c>
      <c r="K16" s="15" t="str">
        <f>IF(B16&gt;K9, CONCATENATE("Over limit! ",K9,"°C/W"),CONCATENATE(K9,"°C/W"))</f>
        <v>2.75°C/W</v>
      </c>
      <c r="L16" s="11"/>
      <c r="M16" s="11"/>
    </row>
    <row r="17" spans="1:13" ht="18" customHeight="1">
      <c r="A17" s="32"/>
      <c r="B17" s="38"/>
      <c r="C17" s="34"/>
      <c r="D17" s="34"/>
      <c r="E17" s="31"/>
      <c r="F17" s="37"/>
      <c r="G17" s="11"/>
      <c r="L17" s="11"/>
      <c r="M17" s="11"/>
    </row>
    <row r="18" spans="1:13" ht="18" customHeight="1">
      <c r="A18" s="39" t="s">
        <v>16</v>
      </c>
      <c r="B18" s="40"/>
      <c r="C18" s="40"/>
      <c r="D18" s="34"/>
      <c r="E18" s="31"/>
      <c r="F18" s="37"/>
      <c r="G18" s="11"/>
      <c r="L18" s="11"/>
      <c r="M18" s="11"/>
    </row>
    <row r="19" spans="1:13" ht="18" customHeight="1">
      <c r="A19" s="25" t="str">
        <f>CONCATENATE("When Tcase Temp = ", ROUND(I3, 1), "°C")</f>
        <v>When Tcase Temp = 78°C</v>
      </c>
      <c r="B19" s="25" t="s">
        <v>17</v>
      </c>
      <c r="C19" s="25" t="s">
        <v>18</v>
      </c>
      <c r="D19" s="25" t="str">
        <f>IF(G20&gt;K3,CONCATENATE("If Tcase Temp = ", B8, "°C"),"Stage Over Temp?")</f>
        <v>Stage Over Temp?</v>
      </c>
      <c r="F19" s="11"/>
      <c r="G19" s="11"/>
      <c r="L19" s="11"/>
      <c r="M19" s="11"/>
    </row>
    <row r="20" spans="1:13" ht="18" customHeight="1">
      <c r="A20" s="34" t="s">
        <v>39</v>
      </c>
      <c r="B20" s="41">
        <f>152000/(100000000*I5/G2)^2*EXP(0.66/0.0000863/(273+I3+I9*(I4*I5+I6-I7)))*(100/G12)</f>
        <v>50.262851876397541</v>
      </c>
      <c r="C20" s="42">
        <f>I3+I9*(I4*I5+I6-I7)</f>
        <v>154.74013899956481</v>
      </c>
      <c r="D20" s="25" t="str">
        <f>IF(B8+I9*(I4*I5+I6-I7)&gt;I10, CONCATENATE(ROUND(B8+I9*(I4*I5+I6-I7)-K3,0),"°C ","Over Tj max."), "None")</f>
        <v>None</v>
      </c>
      <c r="F20" s="11"/>
      <c r="G20" s="43">
        <f>IF(B8+I9*(I4*I5+I6-I7)&gt;I10,B8+I9*(I4*I5+I6-I7),0)</f>
        <v>0</v>
      </c>
      <c r="L20" s="11"/>
      <c r="M20" s="11"/>
    </row>
    <row r="21" spans="1:13" ht="18" customHeight="1">
      <c r="A21" s="25" t="s">
        <v>19</v>
      </c>
      <c r="B21" s="41" t="s">
        <v>20</v>
      </c>
      <c r="C21" s="41" t="str">
        <f>CONCATENATE("Tj max Allowed ",I10, " °C ")</f>
        <v xml:space="preserve">Tj max Allowed 225 °C </v>
      </c>
      <c r="D21" s="41" t="str">
        <f>CONCATENATE("Tj max Allowed ",I10, " °C ")</f>
        <v xml:space="preserve">Tj max Allowed 225 °C </v>
      </c>
      <c r="F21" s="37"/>
      <c r="G21" s="11"/>
      <c r="L21" s="11"/>
      <c r="M21" s="11"/>
    </row>
    <row r="22" spans="1:13" ht="18" customHeight="1">
      <c r="A22" s="34" t="s">
        <v>0</v>
      </c>
      <c r="B22" s="44"/>
      <c r="C22" s="5"/>
      <c r="D22" s="34"/>
      <c r="E22" s="45" t="s">
        <v>0</v>
      </c>
      <c r="F22" s="37"/>
      <c r="G22" s="11"/>
      <c r="L22" s="11"/>
      <c r="M22" s="11"/>
    </row>
    <row r="23" spans="1:13" ht="18" customHeight="1" thickBot="1">
      <c r="A23" s="46" t="s">
        <v>21</v>
      </c>
      <c r="B23" s="47"/>
      <c r="C23" s="47"/>
      <c r="D23" s="47"/>
      <c r="E23" s="31"/>
      <c r="F23" s="37"/>
      <c r="G23" s="11"/>
      <c r="L23" s="11"/>
      <c r="M23" s="11"/>
    </row>
    <row r="24" spans="1:13" ht="18" customHeight="1">
      <c r="A24" s="48" t="s">
        <v>22</v>
      </c>
      <c r="B24" s="49" t="str">
        <f>CONCATENATE(ROUND(B20,0), " Years")</f>
        <v>50 Years</v>
      </c>
      <c r="C24" s="50" t="s">
        <v>23</v>
      </c>
      <c r="D24" s="51" t="str">
        <f>CONCATENATE(" ",ROUND(I3, 1), " °C ")</f>
        <v xml:space="preserve"> 78 °C </v>
      </c>
      <c r="F24" s="11"/>
      <c r="G24" s="11"/>
      <c r="L24" s="11"/>
      <c r="M24" s="11"/>
    </row>
    <row r="25" spans="1:13" ht="18" customHeight="1" thickBot="1">
      <c r="A25" s="52" t="s">
        <v>37</v>
      </c>
      <c r="B25" s="53" t="str">
        <f>CONCATENATE(B13," Years")</f>
        <v>10 Years</v>
      </c>
      <c r="C25" s="54" t="s">
        <v>24</v>
      </c>
      <c r="D25" s="55">
        <f xml:space="preserve"> LOGNORMDIST(B13*365*24,LN(B20*365*24),0.8)*2*1000000000/8760/B13</f>
        <v>497.19942116035071</v>
      </c>
      <c r="H25" s="7"/>
      <c r="I25" s="7"/>
      <c r="J25" s="7"/>
      <c r="K25" s="7"/>
    </row>
    <row r="26" spans="1:13" ht="18" customHeight="1">
      <c r="A26" s="4" t="s">
        <v>25</v>
      </c>
      <c r="B26" s="56"/>
      <c r="C26" s="57"/>
      <c r="D26" s="58"/>
      <c r="H26" s="7"/>
      <c r="I26" s="7"/>
      <c r="J26" s="7"/>
      <c r="K26" s="7"/>
    </row>
    <row r="27" spans="1:13" ht="18" customHeight="1">
      <c r="A27" s="4" t="s">
        <v>26</v>
      </c>
      <c r="B27" s="56"/>
      <c r="C27" s="57"/>
      <c r="D27" s="58"/>
      <c r="H27" s="7"/>
      <c r="I27" s="7"/>
      <c r="J27" s="7"/>
      <c r="K27" s="7"/>
    </row>
    <row r="28" spans="1:13" ht="18" customHeight="1">
      <c r="A28" s="3" t="s">
        <v>38</v>
      </c>
      <c r="B28" s="56"/>
      <c r="C28" s="57"/>
      <c r="D28" s="58"/>
      <c r="H28" s="7"/>
      <c r="I28" s="7"/>
      <c r="J28" s="7"/>
      <c r="K28" s="7"/>
    </row>
    <row r="29" spans="1:13" ht="18" customHeight="1">
      <c r="A29" s="5"/>
      <c r="B29" s="5"/>
      <c r="C29" s="5"/>
      <c r="D29" s="5"/>
      <c r="H29" s="7"/>
      <c r="I29" s="7"/>
      <c r="J29" s="7"/>
      <c r="K29" s="7"/>
    </row>
    <row r="30" spans="1:13" ht="18" customHeight="1">
      <c r="A30" s="59" t="str">
        <f>IF(G20&gt;K3, CONCATENATE("Case Temperature was modified to ",ROUND(I3, 1)," °C based on maximum die junction temperature allowed."),"")</f>
        <v/>
      </c>
      <c r="B30" s="45"/>
      <c r="C30" s="31"/>
      <c r="D30" s="31"/>
      <c r="H30" s="7"/>
      <c r="I30" s="7"/>
      <c r="J30" s="7"/>
      <c r="K30" s="7"/>
    </row>
    <row r="31" spans="1:13" ht="18" customHeight="1">
      <c r="A31" s="60" t="str">
        <f>IF(G20&gt;K3, "Better Heatsink, Cooling Systems or Operating conditions are Necessary to Reduce the Case Temperature","")</f>
        <v/>
      </c>
      <c r="B31" s="61"/>
      <c r="C31" s="61"/>
      <c r="D31" s="61"/>
      <c r="E31" s="62"/>
      <c r="F31" s="62" t="s">
        <v>0</v>
      </c>
      <c r="H31" s="7"/>
      <c r="I31" s="7"/>
      <c r="J31" s="7"/>
      <c r="K31" s="7"/>
    </row>
    <row r="32" spans="1:13">
      <c r="A32" s="60"/>
      <c r="B32" s="63"/>
      <c r="C32" s="63"/>
      <c r="D32" s="63"/>
      <c r="E32" s="62"/>
      <c r="F32" s="62"/>
      <c r="H32" s="7"/>
      <c r="I32" s="7"/>
      <c r="J32" s="7"/>
      <c r="K32" s="7"/>
    </row>
    <row r="33" spans="1:6">
      <c r="E33" s="62"/>
      <c r="F33" s="62"/>
    </row>
    <row r="34" spans="1:6">
      <c r="E34" s="62"/>
      <c r="F34" s="62"/>
    </row>
    <row r="35" spans="1:6">
      <c r="E35" s="62"/>
      <c r="F35" s="62"/>
    </row>
    <row r="36" spans="1:6">
      <c r="E36" s="62"/>
      <c r="F36" s="62"/>
    </row>
    <row r="37" spans="1:6">
      <c r="E37" s="62"/>
      <c r="F37" s="62"/>
    </row>
    <row r="38" spans="1:6">
      <c r="E38" s="62"/>
      <c r="F38" s="62"/>
    </row>
    <row r="39" spans="1:6">
      <c r="E39" s="62"/>
      <c r="F39" s="62"/>
    </row>
    <row r="40" spans="1:6">
      <c r="E40" s="62"/>
      <c r="F40" s="62"/>
    </row>
    <row r="41" spans="1:6">
      <c r="E41" s="62"/>
      <c r="F41" s="62"/>
    </row>
    <row r="42" spans="1:6">
      <c r="A42" s="60"/>
      <c r="B42" s="61"/>
      <c r="C42" s="61"/>
      <c r="D42" s="61"/>
      <c r="E42" s="62"/>
      <c r="F42" s="62"/>
    </row>
    <row r="43" spans="1:6">
      <c r="D43" s="61"/>
      <c r="E43" s="62"/>
      <c r="F43" s="62"/>
    </row>
    <row r="44" spans="1:6">
      <c r="D44" s="31"/>
    </row>
    <row r="45" spans="1:6">
      <c r="D45" s="45"/>
    </row>
    <row r="46" spans="1:6">
      <c r="D46" s="45"/>
    </row>
    <row r="48" spans="1:6">
      <c r="D48" s="45"/>
    </row>
    <row r="49" spans="4:4">
      <c r="D49" s="45"/>
    </row>
    <row r="51" spans="4:4">
      <c r="D51" s="45"/>
    </row>
    <row r="52" spans="4:4">
      <c r="D52" s="45"/>
    </row>
  </sheetData>
  <pageMargins left="0.75" right="0.75" top="1" bottom="1" header="0.5" footer="0.5"/>
  <pageSetup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The Program</vt:lpstr>
      <vt:lpstr> 4W Stage 1</vt:lpstr>
      <vt:lpstr> 4W Stage 2</vt:lpstr>
      <vt:lpstr>34W Stage 1</vt:lpstr>
      <vt:lpstr> 34W Stage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Mahalingam Mali-RHWB10</dc:creator>
  <cp:lastModifiedBy>Administrator</cp:lastModifiedBy>
  <cp:lastPrinted>2014-07-11T18:52:05Z</cp:lastPrinted>
  <dcterms:created xsi:type="dcterms:W3CDTF">2002-11-13T17:41:12Z</dcterms:created>
  <dcterms:modified xsi:type="dcterms:W3CDTF">2017-07-07T01:19:49Z</dcterms:modified>
</cp:coreProperties>
</file>